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AT113\Downloads\"/>
    </mc:Choice>
  </mc:AlternateContent>
  <xr:revisionPtr revIDLastSave="0" documentId="13_ncr:1_{7CF1378D-6FA6-4C76-9C04-EF1EE7F52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方法" sheetId="6" r:id="rId1"/>
    <sheet name="注文書（計算式入り）" sheetId="1" r:id="rId2"/>
    <sheet name="ミレﾆｭ-ﾑ注文書 " sheetId="5" r:id="rId3"/>
  </sheets>
  <definedNames>
    <definedName name="_xlnm.Print_Area" localSheetId="0">注文方法!$A$1:$R$53</definedName>
    <definedName name="_xlnm.Print_Titles" localSheetId="1">'注文書（計算式入り）'!$1:$3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5" l="1"/>
  <c r="T19" i="5"/>
  <c r="T18" i="5"/>
  <c r="T16" i="5"/>
  <c r="P29" i="5"/>
  <c r="P26" i="5"/>
  <c r="P8" i="5"/>
  <c r="L16" i="5"/>
  <c r="L15" i="5"/>
  <c r="L8" i="5"/>
  <c r="L7" i="5"/>
  <c r="L6" i="5"/>
  <c r="H19" i="5"/>
  <c r="H18" i="5"/>
  <c r="H17" i="5"/>
  <c r="H16" i="5"/>
  <c r="H15" i="5"/>
  <c r="H14" i="5"/>
  <c r="H13" i="5"/>
  <c r="H12" i="5"/>
  <c r="H11" i="5"/>
  <c r="BK45" i="1"/>
  <c r="BK44" i="1"/>
  <c r="BK43" i="1"/>
  <c r="BK42" i="1"/>
  <c r="BK41" i="1"/>
  <c r="BK40" i="1"/>
  <c r="BK39" i="1"/>
  <c r="BK38" i="1"/>
  <c r="AT61" i="1"/>
  <c r="AT60" i="1"/>
  <c r="AT59" i="1"/>
  <c r="AT58" i="1"/>
  <c r="AT57" i="1"/>
  <c r="AT54" i="1"/>
  <c r="AT49" i="1"/>
  <c r="AT48" i="1"/>
  <c r="AT46" i="1"/>
  <c r="AT45" i="1"/>
  <c r="AT44" i="1"/>
  <c r="AT40" i="1"/>
  <c r="AT39" i="1"/>
  <c r="AT38" i="1"/>
  <c r="AD65" i="1"/>
  <c r="AD64" i="1"/>
  <c r="AD63" i="1"/>
  <c r="AD62" i="1"/>
  <c r="AD61" i="1"/>
  <c r="AD60" i="1"/>
  <c r="AD59" i="1"/>
  <c r="AD56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O64" i="1"/>
  <c r="O63" i="1"/>
  <c r="O62" i="1"/>
  <c r="O61" i="1"/>
  <c r="O58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BL29" i="1"/>
  <c r="BL28" i="1"/>
  <c r="BL27" i="1"/>
  <c r="BL19" i="1"/>
  <c r="BL17" i="1"/>
  <c r="BL16" i="1"/>
  <c r="BL14" i="1"/>
  <c r="AL14" i="1"/>
  <c r="AL13" i="1"/>
  <c r="AL7" i="1"/>
  <c r="AL6" i="1"/>
  <c r="AL5" i="1"/>
  <c r="Y22" i="1"/>
  <c r="Y21" i="1"/>
  <c r="Y20" i="1"/>
  <c r="Y18" i="1"/>
  <c r="Y17" i="1"/>
  <c r="Y16" i="1"/>
  <c r="Y15" i="1"/>
  <c r="Y13" i="1"/>
  <c r="Y1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8" i="1"/>
  <c r="L7" i="1"/>
  <c r="L6" i="1"/>
  <c r="L5" i="1"/>
  <c r="AY16" i="1"/>
  <c r="BL9" i="1"/>
  <c r="AT42" i="1"/>
  <c r="AT51" i="1"/>
  <c r="AT50" i="1"/>
  <c r="AT47" i="1"/>
  <c r="AT41" i="1"/>
  <c r="AD58" i="1"/>
  <c r="AD57" i="1"/>
  <c r="AD55" i="1"/>
  <c r="AD54" i="1"/>
  <c r="O59" i="1"/>
  <c r="BL5" i="1"/>
  <c r="AY29" i="1"/>
  <c r="Y6" i="1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L17" i="5"/>
  <c r="L13" i="5"/>
  <c r="H22" i="5"/>
  <c r="H21" i="5"/>
  <c r="D28" i="5"/>
  <c r="D27" i="5"/>
  <c r="D25" i="5"/>
  <c r="D24" i="5"/>
  <c r="D23" i="5"/>
  <c r="D22" i="5"/>
  <c r="D21" i="5"/>
  <c r="D20" i="5"/>
  <c r="D11" i="5"/>
  <c r="T6" i="5"/>
  <c r="BL6" i="1"/>
  <c r="BL7" i="1"/>
  <c r="BL8" i="1"/>
  <c r="BL10" i="1"/>
  <c r="O57" i="1"/>
  <c r="O56" i="1"/>
  <c r="O55" i="1"/>
  <c r="O54" i="1"/>
  <c r="D30" i="5"/>
  <c r="H25" i="5"/>
  <c r="H26" i="5"/>
  <c r="H28" i="5"/>
  <c r="T23" i="5"/>
  <c r="T22" i="5"/>
  <c r="L31" i="5"/>
  <c r="L30" i="5"/>
  <c r="L29" i="5"/>
  <c r="L28" i="5"/>
  <c r="L27" i="5"/>
  <c r="L26" i="5"/>
  <c r="L25" i="5"/>
  <c r="L24" i="5"/>
  <c r="H30" i="5"/>
  <c r="H27" i="5"/>
  <c r="P28" i="5"/>
  <c r="P27" i="5"/>
  <c r="T17" i="5"/>
  <c r="T15" i="5"/>
  <c r="T14" i="5"/>
  <c r="AL31" i="1"/>
  <c r="AL30" i="1"/>
  <c r="AL29" i="1"/>
  <c r="AL28" i="1"/>
  <c r="AL27" i="1"/>
  <c r="AL26" i="1"/>
  <c r="AL25" i="1"/>
  <c r="AL24" i="1"/>
  <c r="AY28" i="1"/>
  <c r="AY27" i="1"/>
  <c r="AY26" i="1"/>
  <c r="BL18" i="1"/>
  <c r="BL15" i="1"/>
  <c r="Y29" i="1"/>
  <c r="Y28" i="1"/>
  <c r="Y27" i="1"/>
  <c r="Y26" i="1"/>
  <c r="Y25" i="1"/>
  <c r="Y19" i="1"/>
  <c r="Y9" i="1"/>
  <c r="Y8" i="1"/>
  <c r="Y7" i="1"/>
  <c r="Y5" i="1"/>
  <c r="D29" i="5"/>
  <c r="H23" i="5"/>
  <c r="D19" i="5"/>
  <c r="D18" i="5"/>
  <c r="D17" i="5"/>
  <c r="D16" i="5"/>
  <c r="D15" i="5"/>
  <c r="D14" i="5"/>
  <c r="L12" i="5"/>
  <c r="D12" i="5"/>
  <c r="T12" i="5"/>
  <c r="L11" i="5"/>
  <c r="T11" i="5"/>
  <c r="L10" i="5"/>
  <c r="D10" i="5"/>
  <c r="T10" i="5"/>
  <c r="L9" i="5"/>
  <c r="D9" i="5"/>
  <c r="T9" i="5"/>
  <c r="H8" i="5"/>
  <c r="D8" i="5"/>
  <c r="T8" i="5"/>
  <c r="P7" i="5"/>
  <c r="H7" i="5"/>
  <c r="D7" i="5"/>
  <c r="T7" i="5"/>
  <c r="P6" i="5"/>
  <c r="H6" i="5"/>
  <c r="D6" i="5"/>
  <c r="AY5" i="1"/>
  <c r="AY6" i="1"/>
  <c r="AY7" i="1"/>
  <c r="AL8" i="1"/>
  <c r="AY8" i="1"/>
  <c r="AL9" i="1"/>
  <c r="AY9" i="1"/>
  <c r="AL10" i="1"/>
  <c r="AY10" i="1"/>
  <c r="BL11" i="1"/>
  <c r="AL11" i="1"/>
  <c r="AY11" i="1"/>
  <c r="AL12" i="1"/>
  <c r="AY12" i="1"/>
  <c r="AY13" i="1"/>
  <c r="Y14" i="1"/>
  <c r="AY14" i="1"/>
  <c r="AL15" i="1"/>
  <c r="AY15" i="1"/>
  <c r="AL16" i="1"/>
  <c r="AY17" i="1"/>
  <c r="AY18" i="1"/>
  <c r="AY19" i="1"/>
  <c r="AY20" i="1"/>
  <c r="AY21" i="1"/>
  <c r="AY22" i="1"/>
  <c r="AY24" i="1"/>
  <c r="AC66" i="1" l="1"/>
  <c r="N66" i="1"/>
  <c r="W32" i="1"/>
  <c r="AW32" i="1"/>
  <c r="AJ32" i="1"/>
  <c r="AS66" i="1"/>
  <c r="BJ66" i="1"/>
  <c r="J32" i="1"/>
  <c r="BJ32" i="1"/>
  <c r="O32" i="5"/>
  <c r="C32" i="5"/>
  <c r="G32" i="5"/>
  <c r="S32" i="5"/>
  <c r="K32" i="5"/>
  <c r="BG67" i="1" l="1"/>
  <c r="BG33" i="1"/>
  <c r="R3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NAT112</author>
  </authors>
  <commentList>
    <comment ref="F1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年月日入力
例 2021/01/01
自動変換
</t>
        </r>
      </text>
    </comment>
    <comment ref="Q1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年月日入力
例　2021/01/01
自動変換
</t>
        </r>
      </text>
    </comment>
  </commentList>
</comments>
</file>

<file path=xl/sharedStrings.xml><?xml version="1.0" encoding="utf-8"?>
<sst xmlns="http://schemas.openxmlformats.org/spreadsheetml/2006/main" count="666" uniqueCount="402">
  <si>
    <t>TEL：</t>
  </si>
  <si>
    <t>年</t>
  </si>
  <si>
    <t>月</t>
  </si>
  <si>
    <t>会社名</t>
  </si>
  <si>
    <t>現場名：</t>
  </si>
  <si>
    <t>納品日：</t>
  </si>
  <si>
    <t>４ｔ　</t>
  </si>
  <si>
    <t>１０ｔ</t>
  </si>
  <si>
    <t>SC：</t>
  </si>
  <si>
    <t>担当</t>
  </si>
  <si>
    <t>(</t>
  </si>
  <si>
    <t>)</t>
  </si>
  <si>
    <t>日（</t>
  </si>
  <si>
    <t>午前･午後</t>
  </si>
  <si>
    <t>：</t>
  </si>
  <si>
    <t xml:space="preserve">品名  </t>
  </si>
  <si>
    <t>規格</t>
  </si>
  <si>
    <t>数量</t>
  </si>
  <si>
    <t>重量</t>
  </si>
  <si>
    <t>数量　</t>
  </si>
  <si>
    <t>建枠 A4055B</t>
  </si>
  <si>
    <t>W1219XH1700</t>
  </si>
  <si>
    <t>鋼製足場板  4m</t>
  </si>
  <si>
    <t>LZ-4000</t>
  </si>
  <si>
    <t>単管パイプ （ピン）</t>
  </si>
  <si>
    <t>５．５ｍ</t>
  </si>
  <si>
    <t>壁つなぎ</t>
  </si>
  <si>
    <t>１９－２５</t>
  </si>
  <si>
    <t>建枠 A3055A</t>
  </si>
  <si>
    <t>W914XH1700</t>
  </si>
  <si>
    <t>階段手摺</t>
  </si>
  <si>
    <t>鋼製足場板  3m</t>
  </si>
  <si>
    <t>LZ-3000</t>
  </si>
  <si>
    <t>５．０ｍ</t>
  </si>
  <si>
    <t>２４－３４</t>
  </si>
  <si>
    <t>セフティーホルダー</t>
  </si>
  <si>
    <t>階段開口部手摺</t>
  </si>
  <si>
    <t>鋼製足場板  2m</t>
  </si>
  <si>
    <t>LZ-2000</t>
  </si>
  <si>
    <t>４．５ｍ</t>
  </si>
  <si>
    <t>３３－５２</t>
  </si>
  <si>
    <t>建枠 A6117SN</t>
  </si>
  <si>
    <t>W610XH1700</t>
  </si>
  <si>
    <t>エンドストッパー</t>
  </si>
  <si>
    <t>端部手摺</t>
  </si>
  <si>
    <t>合板足場板</t>
  </si>
  <si>
    <t>４ｍ</t>
  </si>
  <si>
    <t>４．０ｍ</t>
  </si>
  <si>
    <t>５０－７２</t>
  </si>
  <si>
    <t>建枠 A4117S</t>
  </si>
  <si>
    <t>W410XH1700</t>
  </si>
  <si>
    <t>すき間ステップ</t>
  </si>
  <si>
    <t>２ｍ</t>
  </si>
  <si>
    <t>３．５ｍ</t>
  </si>
  <si>
    <t>７０－９２</t>
  </si>
  <si>
    <t xml:space="preserve">ジャッキベース </t>
  </si>
  <si>
    <t xml:space="preserve">A-752T           </t>
  </si>
  <si>
    <t>敷板</t>
  </si>
  <si>
    <t>３．０ｍ</t>
  </si>
  <si>
    <t>９０－１１２</t>
  </si>
  <si>
    <t>２．５ｍ</t>
  </si>
  <si>
    <t>コッパ</t>
  </si>
  <si>
    <t>単管パイプ （バタ）</t>
  </si>
  <si>
    <t>２．０ｍ</t>
  </si>
  <si>
    <t>布板 BKN-6</t>
  </si>
  <si>
    <t>W500X1829</t>
  </si>
  <si>
    <t>梁枠   A-146</t>
  </si>
  <si>
    <t>４スパン</t>
  </si>
  <si>
    <t>脚立</t>
  </si>
  <si>
    <t>６尺</t>
  </si>
  <si>
    <t>１．８ｍ</t>
  </si>
  <si>
    <t>布板 BKN-5</t>
  </si>
  <si>
    <t>W500X1524</t>
  </si>
  <si>
    <t>梁枠   A-147</t>
  </si>
  <si>
    <t>３スパン</t>
  </si>
  <si>
    <t>４尺</t>
  </si>
  <si>
    <t>１．５ｍ</t>
  </si>
  <si>
    <t>布板 BKN-4</t>
  </si>
  <si>
    <t>W500X1219</t>
  </si>
  <si>
    <t>梁枠   A-148</t>
  </si>
  <si>
    <t>２スパン</t>
  </si>
  <si>
    <t>３尺</t>
  </si>
  <si>
    <t>１．２ｍ</t>
  </si>
  <si>
    <t>布板 BKN-3</t>
  </si>
  <si>
    <t>W500X914</t>
  </si>
  <si>
    <t>梁渡   A-150</t>
  </si>
  <si>
    <t xml:space="preserve">パイプ馬 </t>
  </si>
  <si>
    <t>（鋼製馬）</t>
  </si>
  <si>
    <t>１．０ｍ</t>
  </si>
  <si>
    <t>布板 BKN-2</t>
  </si>
  <si>
    <t>W500X610</t>
  </si>
  <si>
    <t>梁渡   A-152</t>
  </si>
  <si>
    <t>０．９ｍ</t>
  </si>
  <si>
    <t>布板 BKN-624</t>
  </si>
  <si>
    <t>W240X1829</t>
  </si>
  <si>
    <t>０．８ｍ</t>
  </si>
  <si>
    <t>布板 BKN-524</t>
  </si>
  <si>
    <t>W240X1524</t>
  </si>
  <si>
    <t>梁渡   A-153</t>
  </si>
  <si>
    <t>０．７ｍ</t>
  </si>
  <si>
    <t>布板 BKN-424</t>
  </si>
  <si>
    <t>W240X1219</t>
  </si>
  <si>
    <t>梁渡   A-154</t>
  </si>
  <si>
    <t>０．６ｍ</t>
  </si>
  <si>
    <t>布板 BKN-324</t>
  </si>
  <si>
    <t>W240X914</t>
  </si>
  <si>
    <t>隅梁受  A-1453</t>
  </si>
  <si>
    <t>０．５ｍ</t>
  </si>
  <si>
    <t>布板 BKN-224</t>
  </si>
  <si>
    <t>W240X610</t>
  </si>
  <si>
    <t>方杖  A1475</t>
  </si>
  <si>
    <t>2スパン用</t>
  </si>
  <si>
    <t>０．４ｍ</t>
  </si>
  <si>
    <t>布板 BKN-640</t>
  </si>
  <si>
    <t>W400X1829</t>
  </si>
  <si>
    <t>方杖  A1471</t>
  </si>
  <si>
    <t>３・４スパン用</t>
  </si>
  <si>
    <t>角パイプ  ６０角</t>
  </si>
  <si>
    <t>筋違  A-14</t>
  </si>
  <si>
    <t>1829X1219</t>
  </si>
  <si>
    <t>伸縮ブラケット</t>
  </si>
  <si>
    <t>筋違  A-11</t>
  </si>
  <si>
    <t>1524X1219</t>
  </si>
  <si>
    <t>クランプ</t>
  </si>
  <si>
    <t>兼用直交</t>
  </si>
  <si>
    <t>筋違  A-13</t>
  </si>
  <si>
    <t>1219X1219</t>
  </si>
  <si>
    <t>NKB‐1000</t>
  </si>
  <si>
    <t>兼用自在</t>
  </si>
  <si>
    <t>筋違  A-012</t>
  </si>
  <si>
    <t>914X1219</t>
  </si>
  <si>
    <t>先端クランプ</t>
  </si>
  <si>
    <t>三連直交</t>
  </si>
  <si>
    <t>筋違  A-12</t>
  </si>
  <si>
    <t>610X1219</t>
  </si>
  <si>
    <t>固定ベース</t>
  </si>
  <si>
    <r>
      <t xml:space="preserve">      </t>
    </r>
    <r>
      <rPr>
        <b/>
        <sz val="16"/>
        <rFont val="ＭＳ Ｐゴシック"/>
        <family val="3"/>
        <charset val="128"/>
      </rPr>
      <t>ＦＡＸ０３（３６４８）７８９０</t>
    </r>
    <phoneticPr fontId="4"/>
  </si>
  <si>
    <r>
      <t>仮設資材注文書</t>
    </r>
    <r>
      <rPr>
        <b/>
        <sz val="14"/>
        <rFont val="ＭＳ Ｐゴシック"/>
        <family val="3"/>
        <charset val="128"/>
      </rPr>
      <t>(インチサイズ用）</t>
    </r>
    <rPh sb="0" eb="2">
      <t>カセツ</t>
    </rPh>
    <rPh sb="2" eb="4">
      <t>シザイ</t>
    </rPh>
    <rPh sb="4" eb="6">
      <t>チュウモン</t>
    </rPh>
    <rPh sb="6" eb="7">
      <t>ショ</t>
    </rPh>
    <rPh sb="14" eb="15">
      <t>ヨウ</t>
    </rPh>
    <phoneticPr fontId="4"/>
  </si>
  <si>
    <t>商品について</t>
    <rPh sb="0" eb="2">
      <t>ショウヒン</t>
    </rPh>
    <phoneticPr fontId="4"/>
  </si>
  <si>
    <t>グレー防音シート</t>
    <rPh sb="3" eb="5">
      <t>ボウオン</t>
    </rPh>
    <phoneticPr fontId="4"/>
  </si>
  <si>
    <t>安全ブロック</t>
    <rPh sb="0" eb="2">
      <t>アンゼン</t>
    </rPh>
    <phoneticPr fontId="4"/>
  </si>
  <si>
    <t>ブルーネット</t>
    <phoneticPr fontId="4"/>
  </si>
  <si>
    <t>グレーネット</t>
    <phoneticPr fontId="4"/>
  </si>
  <si>
    <t>ラッセルネット</t>
    <phoneticPr fontId="4"/>
  </si>
  <si>
    <t>グレー結束紐</t>
  </si>
  <si>
    <t>1.8×5.1</t>
  </si>
  <si>
    <t>1.5×5.1</t>
  </si>
  <si>
    <t>1.2×5.1</t>
  </si>
  <si>
    <t>0.9×5.1</t>
  </si>
  <si>
    <t>0.6×5.1</t>
  </si>
  <si>
    <t>1.8×3.4</t>
  </si>
  <si>
    <t>1.5×3.4</t>
  </si>
  <si>
    <t>1.2×3.4</t>
  </si>
  <si>
    <t>0.9×3.4</t>
  </si>
  <si>
    <t>0.6×3.4</t>
  </si>
  <si>
    <t>30m</t>
  </si>
  <si>
    <t>20m</t>
  </si>
  <si>
    <t>15m</t>
  </si>
  <si>
    <t>12m</t>
  </si>
  <si>
    <t>1 ×10   黄</t>
  </si>
  <si>
    <t>6 × 6   赤</t>
  </si>
  <si>
    <t>6 ×12   黒</t>
  </si>
  <si>
    <t>7 × 7   緑</t>
  </si>
  <si>
    <t>0.5× 6   灰赤</t>
  </si>
  <si>
    <t>1 × 6   黄赤</t>
  </si>
  <si>
    <t>2 × 6   青赤</t>
  </si>
  <si>
    <t>3 × 6   黒赤</t>
  </si>
  <si>
    <t>5 × 5   灰</t>
  </si>
  <si>
    <t>5 ×10   黒</t>
  </si>
  <si>
    <t>8 × 8   青</t>
  </si>
  <si>
    <t>10×10   黄</t>
  </si>
  <si>
    <t>規格</t>
    <rPh sb="0" eb="2">
      <t>キカク</t>
    </rPh>
    <phoneticPr fontId="2"/>
  </si>
  <si>
    <t>数量</t>
    <rPh sb="0" eb="2">
      <t>スウリョウ</t>
    </rPh>
    <phoneticPr fontId="2"/>
  </si>
  <si>
    <t>重量</t>
    <rPh sb="0" eb="2">
      <t>ジュウリョウ</t>
    </rPh>
    <phoneticPr fontId="2"/>
  </si>
  <si>
    <t>品名</t>
    <rPh sb="0" eb="2">
      <t>ヒンメイ</t>
    </rPh>
    <phoneticPr fontId="4"/>
  </si>
  <si>
    <t>3.6×12   無</t>
    <phoneticPr fontId="2"/>
  </si>
  <si>
    <t>規格</t>
    <rPh sb="0" eb="2">
      <t>キカク</t>
    </rPh>
    <phoneticPr fontId="2"/>
  </si>
  <si>
    <t>日</t>
    <rPh sb="0" eb="1">
      <t>ニチ</t>
    </rPh>
    <phoneticPr fontId="2"/>
  </si>
  <si>
    <t>ブルー メッシュシート</t>
    <phoneticPr fontId="4"/>
  </si>
  <si>
    <t>0.3×5.1</t>
    <phoneticPr fontId="2"/>
  </si>
  <si>
    <t>ブルーメッシュ巾広</t>
    <rPh sb="7" eb="8">
      <t>ハバ</t>
    </rPh>
    <rPh sb="8" eb="9">
      <t>ヒロ</t>
    </rPh>
    <phoneticPr fontId="2"/>
  </si>
  <si>
    <t>1.89×5.1</t>
    <phoneticPr fontId="2"/>
  </si>
  <si>
    <t>1.25×5.1</t>
    <phoneticPr fontId="2"/>
  </si>
  <si>
    <t>0.94×5.1</t>
    <phoneticPr fontId="2"/>
  </si>
  <si>
    <t>0.64×5.1</t>
    <phoneticPr fontId="2"/>
  </si>
  <si>
    <t>1.29×5.1</t>
    <phoneticPr fontId="2"/>
  </si>
  <si>
    <t>0.99×5.1</t>
    <phoneticPr fontId="2"/>
  </si>
  <si>
    <t>0.68×5.1</t>
    <phoneticPr fontId="2"/>
  </si>
  <si>
    <t>グレー メッシュシート</t>
    <phoneticPr fontId="4"/>
  </si>
  <si>
    <t>グレー メッシュ巾広</t>
    <rPh sb="8" eb="9">
      <t>ハバ</t>
    </rPh>
    <rPh sb="9" eb="10">
      <t>ヒロ</t>
    </rPh>
    <phoneticPr fontId="2"/>
  </si>
  <si>
    <t>養生シート</t>
    <rPh sb="0" eb="2">
      <t>ヨウジョウ</t>
    </rPh>
    <phoneticPr fontId="2"/>
  </si>
  <si>
    <t>ブルー結束紐</t>
    <rPh sb="3" eb="5">
      <t>ケッソク</t>
    </rPh>
    <rPh sb="5" eb="6">
      <t>ヒモ</t>
    </rPh>
    <phoneticPr fontId="4"/>
  </si>
  <si>
    <t>ダークブルー結束紐</t>
    <rPh sb="6" eb="8">
      <t>ケッソク</t>
    </rPh>
    <rPh sb="8" eb="9">
      <t>ヒモ</t>
    </rPh>
    <phoneticPr fontId="2"/>
  </si>
  <si>
    <t>シートクランプ</t>
    <phoneticPr fontId="4"/>
  </si>
  <si>
    <t>アルミ階段枠</t>
    <rPh sb="3" eb="5">
      <t>カイダン</t>
    </rPh>
    <rPh sb="5" eb="6">
      <t>ワク</t>
    </rPh>
    <phoneticPr fontId="2"/>
  </si>
  <si>
    <t>AL3055S</t>
    <phoneticPr fontId="2"/>
  </si>
  <si>
    <t>仮設資材注文書</t>
  </si>
  <si>
    <t>着月日時間</t>
  </si>
  <si>
    <t>発送方法</t>
  </si>
  <si>
    <t>10ｔﾕﾆｯｸ　　　台4tﾕﾆｯｸ　　　　台</t>
  </si>
  <si>
    <t>年　　　月　　　日発注日</t>
  </si>
  <si>
    <t>(インチサイズ用）</t>
  </si>
  <si>
    <t>得　意　先</t>
  </si>
  <si>
    <t>住　所</t>
  </si>
  <si>
    <t>注文者氏名</t>
  </si>
  <si>
    <t>殿</t>
  </si>
  <si>
    <t>ＦＡＸ０３－３６４８－７８９０</t>
  </si>
  <si>
    <t>現　場　名</t>
  </si>
  <si>
    <t>電　話</t>
  </si>
  <si>
    <t>受付者氏名</t>
  </si>
  <si>
    <t>品名</t>
  </si>
  <si>
    <t>規格寸法</t>
  </si>
  <si>
    <t>支 柱</t>
  </si>
  <si>
    <t>MN－P36G</t>
  </si>
  <si>
    <t>梁 枠</t>
  </si>
  <si>
    <t>MN-FC3G</t>
  </si>
  <si>
    <r>
      <t>鋼製足場板</t>
    </r>
    <r>
      <rPr>
        <sz val="11"/>
        <rFont val="ＭＳ Ｐゴシック"/>
        <family val="3"/>
        <charset val="128"/>
      </rPr>
      <t xml:space="preserve">  4m</t>
    </r>
    <rPh sb="0" eb="2">
      <t>コウセイ</t>
    </rPh>
    <rPh sb="2" eb="3">
      <t>アシ</t>
    </rPh>
    <rPh sb="3" eb="4">
      <t>バ</t>
    </rPh>
    <rPh sb="4" eb="5">
      <t>イタ</t>
    </rPh>
    <phoneticPr fontId="4"/>
  </si>
  <si>
    <t>〃</t>
  </si>
  <si>
    <t>MN－P27G</t>
  </si>
  <si>
    <t>MN-FC2G</t>
  </si>
  <si>
    <r>
      <t>鋼製足場板</t>
    </r>
    <r>
      <rPr>
        <sz val="11"/>
        <rFont val="ＭＳ Ｐゴシック"/>
        <family val="3"/>
        <charset val="128"/>
      </rPr>
      <t xml:space="preserve">  3m</t>
    </r>
    <rPh sb="0" eb="2">
      <t>コウセイ</t>
    </rPh>
    <rPh sb="2" eb="3">
      <t>アシ</t>
    </rPh>
    <rPh sb="3" eb="4">
      <t>バ</t>
    </rPh>
    <rPh sb="4" eb="5">
      <t>イタ</t>
    </rPh>
    <phoneticPr fontId="4"/>
  </si>
  <si>
    <t>MN－P18G</t>
  </si>
  <si>
    <t>MN-FC1.5G</t>
  </si>
  <si>
    <r>
      <t xml:space="preserve">鋼製足場板 </t>
    </r>
    <r>
      <rPr>
        <sz val="11"/>
        <rFont val="ＭＳ Ｐゴシック"/>
        <family val="3"/>
        <charset val="128"/>
      </rPr>
      <t xml:space="preserve"> 2m</t>
    </r>
    <rPh sb="0" eb="2">
      <t>コウセイ</t>
    </rPh>
    <rPh sb="2" eb="3">
      <t>アシ</t>
    </rPh>
    <rPh sb="3" eb="4">
      <t>バ</t>
    </rPh>
    <rPh sb="4" eb="5">
      <t>イタ</t>
    </rPh>
    <phoneticPr fontId="4"/>
  </si>
  <si>
    <t>MN－P13.5G</t>
  </si>
  <si>
    <t>MN－P9G</t>
  </si>
  <si>
    <t>鋼製布板</t>
  </si>
  <si>
    <t>ＢＫＮ－６</t>
  </si>
  <si>
    <t>MN－P4.5G</t>
  </si>
  <si>
    <t>ＢＫＮ－５</t>
  </si>
  <si>
    <t xml:space="preserve"> 敷 板</t>
  </si>
  <si>
    <t>MN－P2.25G</t>
  </si>
  <si>
    <t>ＢＫＮ－４</t>
  </si>
  <si>
    <t>ＢＫＮ－３</t>
  </si>
  <si>
    <t>布 材</t>
  </si>
  <si>
    <t>MN－SC18G</t>
  </si>
  <si>
    <t>ＢＫＮ－２</t>
  </si>
  <si>
    <t>MN－SC15G</t>
  </si>
  <si>
    <t>ＢＫＮ－６２４</t>
  </si>
  <si>
    <t xml:space="preserve"> 脚 立</t>
  </si>
  <si>
    <t>MN－SC12G</t>
  </si>
  <si>
    <t>ＢＫＮ－５２４</t>
  </si>
  <si>
    <t>MN－SC9G</t>
  </si>
  <si>
    <t>ＢＫＮ－４２４</t>
  </si>
  <si>
    <t>MN－SC6G</t>
  </si>
  <si>
    <t>ＢＫＮ－３２４</t>
  </si>
  <si>
    <t>MN－SC3G</t>
  </si>
  <si>
    <t>ＢＫＮ－２２４</t>
  </si>
  <si>
    <t>ブレス</t>
  </si>
  <si>
    <t>MN-STX1809G</t>
  </si>
  <si>
    <t>張出ﾌﾞﾗｹｯﾄ</t>
    <rPh sb="0" eb="1">
      <t>ハ</t>
    </rPh>
    <rPh sb="1" eb="2">
      <t>ダ</t>
    </rPh>
    <phoneticPr fontId="11"/>
  </si>
  <si>
    <t>ＭＮ－ＢＫＣ６</t>
    <phoneticPr fontId="11"/>
  </si>
  <si>
    <t>MN-STX1509G</t>
  </si>
  <si>
    <t>ＭＮ－ＢＫＣ４</t>
    <phoneticPr fontId="11"/>
  </si>
  <si>
    <t>MN-STX1209G</t>
  </si>
  <si>
    <t>ＭＮ－ＢＫＣ３</t>
    <phoneticPr fontId="11"/>
  </si>
  <si>
    <t>MN-STX0909G</t>
  </si>
  <si>
    <t>ｼﾞｬｯｷﾍﾞｰｽ</t>
  </si>
  <si>
    <t>Ａ-752Ｔ</t>
  </si>
  <si>
    <t>０．３ｍ</t>
  </si>
  <si>
    <t>MN-STX0609G</t>
    <phoneticPr fontId="11"/>
  </si>
  <si>
    <t>ピンブラケット</t>
    <phoneticPr fontId="11"/>
  </si>
  <si>
    <t>ＰＢＫＣ６Ｇ</t>
    <phoneticPr fontId="11"/>
  </si>
  <si>
    <t>NKB‐ 500</t>
  </si>
  <si>
    <t>階 段</t>
  </si>
  <si>
    <t>MN-KC-1818A</t>
  </si>
  <si>
    <t>ＰＢＫＣ４Ｇ</t>
    <phoneticPr fontId="11"/>
  </si>
  <si>
    <t>NKB‐ 750</t>
  </si>
  <si>
    <t>階段斜め手摺</t>
  </si>
  <si>
    <t>MN-JEC18G</t>
  </si>
  <si>
    <t>ｾﾌﾃｨｰﾎﾙﾀﾞｰ</t>
  </si>
  <si>
    <t>有・無・ﾊﾞﾗ</t>
  </si>
  <si>
    <t>↑どちらかに丸印</t>
  </si>
  <si>
    <t>すき間ｽﾃｯﾌﾟ</t>
  </si>
  <si>
    <t>六役キャッチクランプ</t>
  </si>
  <si>
    <t>合計</t>
  </si>
  <si>
    <t>備考：</t>
  </si>
  <si>
    <t>Ｋｇ</t>
  </si>
  <si>
    <t>MN-SC6BK</t>
    <phoneticPr fontId="11"/>
  </si>
  <si>
    <t>MN-S4BK</t>
    <phoneticPr fontId="11"/>
  </si>
  <si>
    <t>両端クサビBK</t>
    <rPh sb="0" eb="2">
      <t>リョウハシ</t>
    </rPh>
    <phoneticPr fontId="4"/>
  </si>
  <si>
    <t>両端サクビBK</t>
    <rPh sb="0" eb="2">
      <t>リョウハシ</t>
    </rPh>
    <phoneticPr fontId="4"/>
  </si>
  <si>
    <t>　　　：　　　着</t>
    <rPh sb="7" eb="8">
      <t>チャク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</si>
  <si>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</si>
  <si>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年　　　月　　　日</t>
    <rPh sb="0" eb="1">
      <t>ネン</t>
    </rPh>
    <rPh sb="4" eb="5">
      <t>ガツ</t>
    </rPh>
    <rPh sb="8" eb="9">
      <t>ニチ</t>
    </rPh>
    <phoneticPr fontId="4"/>
  </si>
  <si>
    <t>巾木</t>
    <rPh sb="0" eb="2">
      <t>ハバキ</t>
    </rPh>
    <phoneticPr fontId="4"/>
  </si>
  <si>
    <t>〃</t>
    <phoneticPr fontId="4"/>
  </si>
  <si>
    <t>妻側巾木</t>
    <rPh sb="0" eb="4">
      <t>ツマガワハバキ</t>
    </rPh>
    <phoneticPr fontId="4"/>
  </si>
  <si>
    <t>HGL-1829</t>
    <phoneticPr fontId="4"/>
  </si>
  <si>
    <t>HGL-1524</t>
    <phoneticPr fontId="4"/>
  </si>
  <si>
    <t>HGL-1219</t>
    <phoneticPr fontId="4"/>
  </si>
  <si>
    <t>HGL-914</t>
    <phoneticPr fontId="4"/>
  </si>
  <si>
    <t>HGL-610</t>
    <phoneticPr fontId="4"/>
  </si>
  <si>
    <t>HGT-1219</t>
    <phoneticPr fontId="4"/>
  </si>
  <si>
    <t>HGT-610</t>
    <phoneticPr fontId="4"/>
  </si>
  <si>
    <t>HGT-914</t>
    <phoneticPr fontId="4"/>
  </si>
  <si>
    <t>巾木</t>
    <rPh sb="0" eb="2">
      <t>ハバキ</t>
    </rPh>
    <phoneticPr fontId="2"/>
  </si>
  <si>
    <t>HGL-1829</t>
    <phoneticPr fontId="2"/>
  </si>
  <si>
    <t>HGL-1524</t>
    <phoneticPr fontId="2"/>
  </si>
  <si>
    <t>妻側巾木</t>
    <rPh sb="0" eb="2">
      <t>ツマガワ</t>
    </rPh>
    <rPh sb="2" eb="4">
      <t>ハバキ</t>
    </rPh>
    <phoneticPr fontId="2"/>
  </si>
  <si>
    <t>HGL-1219</t>
    <phoneticPr fontId="2"/>
  </si>
  <si>
    <t>HGL-914</t>
    <phoneticPr fontId="2"/>
  </si>
  <si>
    <t>HGL-610</t>
    <phoneticPr fontId="2"/>
  </si>
  <si>
    <t>HGT-1219</t>
    <phoneticPr fontId="2"/>
  </si>
  <si>
    <t>HGT-914</t>
    <phoneticPr fontId="2"/>
  </si>
  <si>
    <t>HGT-610</t>
    <phoneticPr fontId="2"/>
  </si>
  <si>
    <t>軽あし　M</t>
    <phoneticPr fontId="2"/>
  </si>
  <si>
    <t>軽あし　NL</t>
    <phoneticPr fontId="2"/>
  </si>
  <si>
    <t>軽あし　LL</t>
    <phoneticPr fontId="2"/>
  </si>
  <si>
    <t>720～1050</t>
    <phoneticPr fontId="2"/>
  </si>
  <si>
    <t>1022～1422</t>
    <phoneticPr fontId="2"/>
  </si>
  <si>
    <t>1350～1750</t>
    <phoneticPr fontId="2"/>
  </si>
  <si>
    <t>大引受支柱</t>
    <rPh sb="0" eb="2">
      <t>オオビ</t>
    </rPh>
    <rPh sb="2" eb="3">
      <t>ウ</t>
    </rPh>
    <rPh sb="3" eb="5">
      <t>シチュウ</t>
    </rPh>
    <phoneticPr fontId="4"/>
  </si>
  <si>
    <t>MN－OJP5G</t>
    <phoneticPr fontId="4"/>
  </si>
  <si>
    <t>MN－SC1.5</t>
    <phoneticPr fontId="4"/>
  </si>
  <si>
    <t>タラップ付布板</t>
    <rPh sb="4" eb="5">
      <t>ツキ</t>
    </rPh>
    <rPh sb="5" eb="7">
      <t>ヌノイタ</t>
    </rPh>
    <phoneticPr fontId="2"/>
  </si>
  <si>
    <t>W500X1829</t>
    <phoneticPr fontId="2"/>
  </si>
  <si>
    <t>下さん手摺 SS-6</t>
    <rPh sb="0" eb="1">
      <t>シタ</t>
    </rPh>
    <rPh sb="3" eb="5">
      <t>テスリ</t>
    </rPh>
    <phoneticPr fontId="2"/>
  </si>
  <si>
    <t>下さん手摺 SS-5</t>
    <phoneticPr fontId="2"/>
  </si>
  <si>
    <t>下さん手摺 SS-4</t>
    <phoneticPr fontId="2"/>
  </si>
  <si>
    <t>下さん手摺 SS-3</t>
    <phoneticPr fontId="2"/>
  </si>
  <si>
    <t>下さん手摺 SS-2</t>
    <phoneticPr fontId="2"/>
  </si>
  <si>
    <t>ﾊﾟｲﾌﾟｼﾞｮｲﾝﾄ</t>
    <phoneticPr fontId="2"/>
  </si>
  <si>
    <t>ｷｬｯﾁｸﾗﾝﾌﾟ</t>
    <phoneticPr fontId="2"/>
  </si>
  <si>
    <t>六役ﾁｬｯｸ</t>
    <rPh sb="0" eb="1">
      <t>ロク</t>
    </rPh>
    <rPh sb="1" eb="2">
      <t>ヤク</t>
    </rPh>
    <phoneticPr fontId="2"/>
  </si>
  <si>
    <t>伸縮ブラケット</t>
    <rPh sb="0" eb="2">
      <t>シンシュク</t>
    </rPh>
    <phoneticPr fontId="2"/>
  </si>
  <si>
    <t>先端クランプ</t>
    <rPh sb="0" eb="2">
      <t>センタン</t>
    </rPh>
    <phoneticPr fontId="2"/>
  </si>
  <si>
    <t>付、バラ、不要</t>
    <rPh sb="0" eb="1">
      <t>ツ</t>
    </rPh>
    <rPh sb="5" eb="7">
      <t>フヨウ</t>
    </rPh>
    <phoneticPr fontId="2"/>
  </si>
  <si>
    <t>↑丸を付けて下さい</t>
    <rPh sb="1" eb="2">
      <t>マル</t>
    </rPh>
    <rPh sb="3" eb="4">
      <t>ツ</t>
    </rPh>
    <rPh sb="6" eb="7">
      <t>クダ</t>
    </rPh>
    <phoneticPr fontId="2"/>
  </si>
  <si>
    <t>パイプｼﾞｮｲﾝﾄ</t>
    <phoneticPr fontId="4"/>
  </si>
  <si>
    <t>240</t>
    <phoneticPr fontId="4"/>
  </si>
  <si>
    <t>ｾﾌﾃｨｰﾎﾙﾀﾞｰ</t>
    <phoneticPr fontId="4"/>
  </si>
  <si>
    <t>三角隙間板</t>
    <rPh sb="0" eb="2">
      <t>サンカク</t>
    </rPh>
    <rPh sb="2" eb="4">
      <t>スキマ</t>
    </rPh>
    <rPh sb="4" eb="5">
      <t>イタ</t>
    </rPh>
    <phoneticPr fontId="4"/>
  </si>
  <si>
    <t>ネットブラケット</t>
    <phoneticPr fontId="2"/>
  </si>
  <si>
    <t>安全ネット吊クランプ</t>
    <rPh sb="0" eb="2">
      <t>アンゼン</t>
    </rPh>
    <rPh sb="5" eb="6">
      <t>ツ</t>
    </rPh>
    <phoneticPr fontId="2"/>
  </si>
  <si>
    <t>4 × 7   白緑</t>
    <rPh sb="8" eb="9">
      <t>シロ</t>
    </rPh>
    <rPh sb="9" eb="10">
      <t>ミドリ</t>
    </rPh>
    <phoneticPr fontId="2"/>
  </si>
  <si>
    <t>7 × 10  緑黒</t>
    <rPh sb="8" eb="9">
      <t>ミドリ</t>
    </rPh>
    <rPh sb="9" eb="10">
      <t>クロ</t>
    </rPh>
    <phoneticPr fontId="2"/>
  </si>
  <si>
    <t>1.59×5.1</t>
    <phoneticPr fontId="2"/>
  </si>
  <si>
    <t>1.19×5.1</t>
    <phoneticPr fontId="2"/>
  </si>
  <si>
    <t>4 × 12  青</t>
    <rPh sb="8" eb="9">
      <t>アオ</t>
    </rPh>
    <phoneticPr fontId="2"/>
  </si>
  <si>
    <t>4 × 8   橙</t>
    <rPh sb="8" eb="9">
      <t>ダイダイ</t>
    </rPh>
    <phoneticPr fontId="2"/>
  </si>
  <si>
    <t>7 × 14  白</t>
    <rPh sb="8" eb="9">
      <t>シロ</t>
    </rPh>
    <phoneticPr fontId="2"/>
  </si>
  <si>
    <t>4 ×12   青</t>
    <rPh sb="8" eb="9">
      <t>アオ</t>
    </rPh>
    <phoneticPr fontId="2"/>
  </si>
  <si>
    <t>1×10   黄</t>
    <rPh sb="7" eb="8">
      <t>キ</t>
    </rPh>
    <phoneticPr fontId="2"/>
  </si>
  <si>
    <t>１９－２５</t>
    <phoneticPr fontId="2"/>
  </si>
  <si>
    <t>NKB500</t>
    <phoneticPr fontId="2"/>
  </si>
  <si>
    <t>NKB750</t>
    <phoneticPr fontId="2"/>
  </si>
  <si>
    <t>NKB1000</t>
    <phoneticPr fontId="2"/>
  </si>
  <si>
    <t>お客様　各位</t>
    <rPh sb="1" eb="3">
      <t>キャクサマ</t>
    </rPh>
    <rPh sb="4" eb="6">
      <t>カクイ</t>
    </rPh>
    <phoneticPr fontId="4"/>
  </si>
  <si>
    <t>東京都江東区東砂６丁目１１番７号</t>
    <phoneticPr fontId="4"/>
  </si>
  <si>
    <t>TEL　０３-３６４６-０１５１</t>
    <phoneticPr fontId="4"/>
  </si>
  <si>
    <t>　8：30～17：00</t>
  </si>
  <si>
    <t>FAX　０３-３６４８-７８９０</t>
    <phoneticPr fontId="4"/>
  </si>
  <si>
    <t xml:space="preserve"> 24時間受付　</t>
    <phoneticPr fontId="4"/>
  </si>
  <si>
    <t>Email　　tehai@na-tk.com</t>
    <phoneticPr fontId="4"/>
  </si>
  <si>
    <t>資材の注文方法について</t>
    <rPh sb="0" eb="2">
      <t>シザイ</t>
    </rPh>
    <rPh sb="3" eb="5">
      <t>チュウモン</t>
    </rPh>
    <rPh sb="5" eb="7">
      <t>ホウホウ</t>
    </rPh>
    <phoneticPr fontId="4"/>
  </si>
  <si>
    <t xml:space="preserve"> 　　　　 平素は格別のご高配を賜り厚くお礼申し上げます。</t>
    <phoneticPr fontId="4"/>
  </si>
  <si>
    <t>　　　　　ご注文方法は以下の通りとなりますので、ご一読のうえ注文をお願いします。</t>
    <rPh sb="6" eb="8">
      <t>チュウモン</t>
    </rPh>
    <rPh sb="8" eb="10">
      <t>ホウホウ</t>
    </rPh>
    <rPh sb="11" eb="13">
      <t>イカ</t>
    </rPh>
    <rPh sb="14" eb="15">
      <t>トオ</t>
    </rPh>
    <rPh sb="25" eb="27">
      <t>イチドク</t>
    </rPh>
    <rPh sb="30" eb="32">
      <t>チュウモン</t>
    </rPh>
    <rPh sb="34" eb="35">
      <t>ネガ</t>
    </rPh>
    <phoneticPr fontId="4"/>
  </si>
  <si>
    <t>注文方法</t>
    <rPh sb="0" eb="2">
      <t>チュウモン</t>
    </rPh>
    <rPh sb="2" eb="4">
      <t>ホウホウ</t>
    </rPh>
    <phoneticPr fontId="4"/>
  </si>
  <si>
    <t>・注文用紙を受け取り後、弊社より内容確認の連絡を入れさせていただきます。</t>
    <rPh sb="1" eb="5">
      <t>チュウモンヨウシ</t>
    </rPh>
    <rPh sb="6" eb="7">
      <t>ウ</t>
    </rPh>
    <rPh sb="8" eb="9">
      <t>ト</t>
    </rPh>
    <rPh sb="10" eb="11">
      <t>ゴ</t>
    </rPh>
    <rPh sb="12" eb="14">
      <t>ヘイシャ</t>
    </rPh>
    <rPh sb="16" eb="18">
      <t>ナイヨウ</t>
    </rPh>
    <rPh sb="18" eb="20">
      <t>カクニン</t>
    </rPh>
    <rPh sb="21" eb="23">
      <t>レンラク</t>
    </rPh>
    <rPh sb="24" eb="25">
      <t>イ</t>
    </rPh>
    <phoneticPr fontId="4"/>
  </si>
  <si>
    <t>・17：00以降の注文については、確認の連絡が翌営業日となる場合がございます。</t>
    <rPh sb="6" eb="8">
      <t>イコウ</t>
    </rPh>
    <rPh sb="9" eb="11">
      <t>チュウモン</t>
    </rPh>
    <rPh sb="17" eb="19">
      <t>カクニン</t>
    </rPh>
    <rPh sb="20" eb="22">
      <t>レンラク</t>
    </rPh>
    <rPh sb="23" eb="27">
      <t>ヨクエイギョウビ</t>
    </rPh>
    <rPh sb="30" eb="32">
      <t>バアイ</t>
    </rPh>
    <phoneticPr fontId="4"/>
  </si>
  <si>
    <t>・土曜日も受付しておりますが、少人数で対応しているため確認の連絡が遅れる場合がございます。</t>
    <rPh sb="1" eb="4">
      <t>ドヨウビ</t>
    </rPh>
    <rPh sb="5" eb="7">
      <t>ウケツケ</t>
    </rPh>
    <rPh sb="15" eb="18">
      <t>ショウニンズウ</t>
    </rPh>
    <rPh sb="19" eb="21">
      <t>タイオウ</t>
    </rPh>
    <rPh sb="27" eb="29">
      <t>カクニン</t>
    </rPh>
    <rPh sb="30" eb="32">
      <t>レンラク</t>
    </rPh>
    <rPh sb="33" eb="34">
      <t>オク</t>
    </rPh>
    <rPh sb="36" eb="38">
      <t>バアイ</t>
    </rPh>
    <phoneticPr fontId="4"/>
  </si>
  <si>
    <t>・急ぎの手配などに関しては、その都度お問い合わせください。</t>
    <rPh sb="1" eb="2">
      <t>イソ</t>
    </rPh>
    <rPh sb="4" eb="6">
      <t>テハイ</t>
    </rPh>
    <rPh sb="9" eb="10">
      <t>カン</t>
    </rPh>
    <rPh sb="16" eb="18">
      <t>ツド</t>
    </rPh>
    <rPh sb="19" eb="22">
      <t>トイア</t>
    </rPh>
    <phoneticPr fontId="4"/>
  </si>
  <si>
    <t>内容の変更について</t>
    <rPh sb="0" eb="2">
      <t>ナイヨウ</t>
    </rPh>
    <rPh sb="3" eb="5">
      <t>ヘンコウ</t>
    </rPh>
    <phoneticPr fontId="4"/>
  </si>
  <si>
    <t>・手配内容の変更は、お早めにご連絡ください。</t>
    <rPh sb="1" eb="3">
      <t>テハイ</t>
    </rPh>
    <rPh sb="3" eb="5">
      <t>ナイヨウ</t>
    </rPh>
    <rPh sb="6" eb="8">
      <t>ヘンコウ</t>
    </rPh>
    <rPh sb="10" eb="12">
      <t>オハヤ</t>
    </rPh>
    <rPh sb="14" eb="17">
      <t>ゴレンラク</t>
    </rPh>
    <phoneticPr fontId="4"/>
  </si>
  <si>
    <t>キャンセルについて</t>
    <phoneticPr fontId="4"/>
  </si>
  <si>
    <t>　以降はキャンセル料が発生します。</t>
    <rPh sb="1" eb="3">
      <t>イコウ</t>
    </rPh>
    <rPh sb="9" eb="10">
      <t>リョウ</t>
    </rPh>
    <rPh sb="11" eb="13">
      <t>ハッセイ</t>
    </rPh>
    <phoneticPr fontId="4"/>
  </si>
  <si>
    <t>・カタログにない商品も色々と取り扱っておりますので、お問い合わせください。</t>
    <rPh sb="8" eb="10">
      <t>ショウヒン</t>
    </rPh>
    <rPh sb="11" eb="13">
      <t>イロイロ</t>
    </rPh>
    <rPh sb="14" eb="17">
      <t>トリアツカ</t>
    </rPh>
    <rPh sb="26" eb="30">
      <t>オトイア</t>
    </rPh>
    <phoneticPr fontId="4"/>
  </si>
  <si>
    <t>・使い方やサイズを記載いただければお探し致します。</t>
  </si>
  <si>
    <t>・足場パイプは、2.0Ｍ以上になります。</t>
    <rPh sb="1" eb="2">
      <t>アシ</t>
    </rPh>
    <rPh sb="2" eb="3">
      <t>バ</t>
    </rPh>
    <rPh sb="12" eb="14">
      <t>イジョウ</t>
    </rPh>
    <phoneticPr fontId="4"/>
  </si>
  <si>
    <t>・型枠パイプは型枠で使用しているので、モルタル等で穴が塞がっている場合があります。</t>
    <rPh sb="1" eb="2">
      <t>カタ</t>
    </rPh>
    <rPh sb="2" eb="3">
      <t>ワク</t>
    </rPh>
    <rPh sb="7" eb="8">
      <t>カタ</t>
    </rPh>
    <rPh sb="8" eb="9">
      <t>ワク</t>
    </rPh>
    <rPh sb="10" eb="12">
      <t>シヨウ</t>
    </rPh>
    <rPh sb="23" eb="24">
      <t>トウ</t>
    </rPh>
    <rPh sb="25" eb="26">
      <t>アナ</t>
    </rPh>
    <rPh sb="27" eb="28">
      <t>フサ</t>
    </rPh>
    <rPh sb="33" eb="35">
      <t>バアイ</t>
    </rPh>
    <phoneticPr fontId="4"/>
  </si>
  <si>
    <t>　ジャッキを挿すなどで使用する場合は、穴あきパイプが必要な旨を記載ください。</t>
    <rPh sb="6" eb="7">
      <t>サ</t>
    </rPh>
    <rPh sb="11" eb="13">
      <t>シヨウ</t>
    </rPh>
    <rPh sb="15" eb="17">
      <t>バアイ</t>
    </rPh>
    <rPh sb="19" eb="20">
      <t>アナア</t>
    </rPh>
    <rPh sb="26" eb="28">
      <t>ヒツヨウ</t>
    </rPh>
    <rPh sb="29" eb="30">
      <t>シ</t>
    </rPh>
    <rPh sb="31" eb="33">
      <t>キサイ</t>
    </rPh>
    <phoneticPr fontId="4"/>
  </si>
  <si>
    <t>　※ 安全上、特注で製作したクランプ２個の商品を取り扱っております。</t>
    <rPh sb="3" eb="5">
      <t>アンゼン</t>
    </rPh>
    <rPh sb="5" eb="6">
      <t>ジョウ</t>
    </rPh>
    <rPh sb="7" eb="9">
      <t>トクチュウ</t>
    </rPh>
    <rPh sb="10" eb="12">
      <t>セイサク</t>
    </rPh>
    <rPh sb="19" eb="20">
      <t>コ</t>
    </rPh>
    <rPh sb="21" eb="23">
      <t>ショウヒン</t>
    </rPh>
    <rPh sb="24" eb="25">
      <t>ト</t>
    </rPh>
    <rPh sb="26" eb="27">
      <t>アツカ</t>
    </rPh>
    <phoneticPr fontId="4"/>
  </si>
  <si>
    <t>・打ち込み用ﾊﾟｲﾌﾟなどの区別がありませんので、始めから滅失になることが分かっている商品は</t>
    <rPh sb="1" eb="5">
      <t>ウチコミヨウ</t>
    </rPh>
    <rPh sb="5" eb="6">
      <t>ヨウ</t>
    </rPh>
    <rPh sb="14" eb="16">
      <t>クベツ</t>
    </rPh>
    <rPh sb="25" eb="26">
      <t>ハジ</t>
    </rPh>
    <rPh sb="29" eb="30">
      <t>メツ</t>
    </rPh>
    <rPh sb="30" eb="31">
      <t>シツ</t>
    </rPh>
    <rPh sb="37" eb="38">
      <t>ワ</t>
    </rPh>
    <rPh sb="43" eb="45">
      <t>ショウヒン</t>
    </rPh>
    <phoneticPr fontId="4"/>
  </si>
  <si>
    <t xml:space="preserve"> 出荷時から販売品として出荷しますので、注文時にその旨を記載してください。</t>
    <rPh sb="3" eb="4">
      <t>ジ</t>
    </rPh>
    <rPh sb="6" eb="9">
      <t>ハンバイヒン</t>
    </rPh>
    <rPh sb="12" eb="14">
      <t>シュッカ</t>
    </rPh>
    <rPh sb="20" eb="22">
      <t>チュウモン</t>
    </rPh>
    <rPh sb="22" eb="23">
      <t>ジ</t>
    </rPh>
    <rPh sb="24" eb="27">
      <t>ソノムネ</t>
    </rPh>
    <rPh sb="28" eb="30">
      <t>キサイ</t>
    </rPh>
    <phoneticPr fontId="4"/>
  </si>
  <si>
    <t>・車輌は、２・４・８・１０・１５ｔ車（すべてユニック付き）となります。</t>
    <rPh sb="1" eb="3">
      <t>シャリョウ</t>
    </rPh>
    <rPh sb="17" eb="18">
      <t>シャ</t>
    </rPh>
    <rPh sb="26" eb="27">
      <t>ツキ</t>
    </rPh>
    <phoneticPr fontId="4"/>
  </si>
  <si>
    <t>　各車輛の最大積載量は以下の通りです。</t>
    <rPh sb="1" eb="2">
      <t>カク</t>
    </rPh>
    <rPh sb="2" eb="4">
      <t>シャリョウ</t>
    </rPh>
    <rPh sb="5" eb="10">
      <t>サイダイセキサイリョウ</t>
    </rPh>
    <rPh sb="11" eb="13">
      <t>イカ</t>
    </rPh>
    <rPh sb="14" eb="15">
      <t>トオ</t>
    </rPh>
    <phoneticPr fontId="4"/>
  </si>
  <si>
    <t>　２ｔ車＝２ｔ以下</t>
    <rPh sb="3" eb="4">
      <t>シャ</t>
    </rPh>
    <rPh sb="7" eb="9">
      <t>イカ</t>
    </rPh>
    <phoneticPr fontId="4"/>
  </si>
  <si>
    <t>　８ｔ車＝７，２ｔ以下</t>
    <rPh sb="3" eb="4">
      <t>シャ</t>
    </rPh>
    <rPh sb="9" eb="11">
      <t>イカ</t>
    </rPh>
    <phoneticPr fontId="4"/>
  </si>
  <si>
    <t>１０ｔ車＝９ｔ以下</t>
    <rPh sb="3" eb="4">
      <t>シャ</t>
    </rPh>
    <rPh sb="7" eb="9">
      <t>イカ</t>
    </rPh>
    <phoneticPr fontId="4"/>
  </si>
  <si>
    <t>１５ｔ車＝１２，８ｔ以下</t>
    <rPh sb="3" eb="4">
      <t>シャ</t>
    </rPh>
    <rPh sb="10" eb="12">
      <t>イカ</t>
    </rPh>
    <phoneticPr fontId="4"/>
  </si>
  <si>
    <t>　※ ８ｔ車以上は大型車となります。</t>
    <rPh sb="5" eb="6">
      <t>シャ</t>
    </rPh>
    <rPh sb="6" eb="8">
      <t>イジョウ</t>
    </rPh>
    <rPh sb="9" eb="12">
      <t>オオガタシャ</t>
    </rPh>
    <phoneticPr fontId="4"/>
  </si>
  <si>
    <t xml:space="preserve"> 何かご不明な点がありましたら、注文受付もしくは、担当営業までご連絡ください。</t>
    <rPh sb="1" eb="2">
      <t>ナニ</t>
    </rPh>
    <rPh sb="4" eb="6">
      <t>フメイ</t>
    </rPh>
    <rPh sb="7" eb="8">
      <t>テン</t>
    </rPh>
    <rPh sb="16" eb="18">
      <t>チュウモン</t>
    </rPh>
    <rPh sb="18" eb="20">
      <t>ウケツケ</t>
    </rPh>
    <rPh sb="25" eb="27">
      <t>タントウ</t>
    </rPh>
    <rPh sb="27" eb="29">
      <t>エイギョウ</t>
    </rPh>
    <rPh sb="31" eb="34">
      <t>ゴレンラク</t>
    </rPh>
    <phoneticPr fontId="4"/>
  </si>
  <si>
    <t>・折り返しの連絡がない場合は、恐れ入りますが電話にてお問い合わせください。</t>
    <rPh sb="1" eb="2">
      <t>オ</t>
    </rPh>
    <rPh sb="3" eb="4">
      <t>カエ</t>
    </rPh>
    <rPh sb="6" eb="8">
      <t>レンラク</t>
    </rPh>
    <rPh sb="11" eb="13">
      <t>バアイ</t>
    </rPh>
    <rPh sb="15" eb="16">
      <t>オソ</t>
    </rPh>
    <rPh sb="17" eb="18">
      <t>イ</t>
    </rPh>
    <rPh sb="22" eb="24">
      <t>デンワ</t>
    </rPh>
    <rPh sb="27" eb="28">
      <t>ト</t>
    </rPh>
    <rPh sb="29" eb="30">
      <t>ア</t>
    </rPh>
    <phoneticPr fontId="4"/>
  </si>
  <si>
    <t>6 ×12   黒</t>
    <phoneticPr fontId="2"/>
  </si>
  <si>
    <t>親綱</t>
    <rPh sb="0" eb="2">
      <t>オヤヅナ</t>
    </rPh>
    <phoneticPr fontId="2"/>
  </si>
  <si>
    <t>6m</t>
    <phoneticPr fontId="2"/>
  </si>
  <si>
    <t>8m</t>
    <phoneticPr fontId="2"/>
  </si>
  <si>
    <t>10m</t>
    <phoneticPr fontId="2"/>
  </si>
  <si>
    <t>12m</t>
    <phoneticPr fontId="2"/>
  </si>
  <si>
    <t>15m</t>
    <phoneticPr fontId="2"/>
  </si>
  <si>
    <t>20m</t>
    <phoneticPr fontId="2"/>
  </si>
  <si>
    <t>30m</t>
    <phoneticPr fontId="2"/>
  </si>
  <si>
    <t>緊張器</t>
    <rPh sb="0" eb="3">
      <t>キンチョウキ</t>
    </rPh>
    <phoneticPr fontId="2"/>
  </si>
  <si>
    <t>１４－１７</t>
    <phoneticPr fontId="2"/>
  </si>
  <si>
    <t>１４－１７</t>
    <phoneticPr fontId="4"/>
  </si>
  <si>
    <t>４ｔ車＝２，５ｔ以下</t>
    <rPh sb="2" eb="3">
      <t>シャ</t>
    </rPh>
    <rPh sb="8" eb="10">
      <t>イカ</t>
    </rPh>
    <phoneticPr fontId="4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</si>
  <si>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</si>
  <si>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・現場到着希望日の2日前の午前中までに、弊社指定用紙に記入し、FAXまたはEmailで注文をお願いします。</t>
    <rPh sb="1" eb="3">
      <t>ゲンバ</t>
    </rPh>
    <rPh sb="3" eb="5">
      <t>トウチャク</t>
    </rPh>
    <rPh sb="5" eb="8">
      <t>キボウビ</t>
    </rPh>
    <rPh sb="10" eb="12">
      <t>ニチマエ</t>
    </rPh>
    <rPh sb="13" eb="16">
      <t>ゴゼンチュウ</t>
    </rPh>
    <rPh sb="20" eb="22">
      <t>ヘイシャ</t>
    </rPh>
    <rPh sb="22" eb="24">
      <t>シテイ</t>
    </rPh>
    <rPh sb="24" eb="26">
      <t>ヨウシ</t>
    </rPh>
    <rPh sb="27" eb="29">
      <t>キニュウ</t>
    </rPh>
    <rPh sb="43" eb="45">
      <t>チュウモン</t>
    </rPh>
    <rPh sb="47" eb="48">
      <t>ネガ</t>
    </rPh>
    <phoneticPr fontId="4"/>
  </si>
  <si>
    <t>・毎月第2・第4土曜日を全所休業日とさせて頂きます。</t>
    <rPh sb="1" eb="3">
      <t>マイツキ</t>
    </rPh>
    <rPh sb="3" eb="4">
      <t>ダイ</t>
    </rPh>
    <rPh sb="6" eb="7">
      <t>ダイ</t>
    </rPh>
    <rPh sb="8" eb="11">
      <t>ドヨウビ</t>
    </rPh>
    <rPh sb="12" eb="13">
      <t>ゼン</t>
    </rPh>
    <rPh sb="13" eb="14">
      <t>ショ</t>
    </rPh>
    <rPh sb="14" eb="17">
      <t>キュウギョウビ</t>
    </rPh>
    <rPh sb="21" eb="22">
      <t>イタダ</t>
    </rPh>
    <phoneticPr fontId="4"/>
  </si>
  <si>
    <t>・NKBブラケットは全サイズ クランプ２個になっております。</t>
    <rPh sb="10" eb="11">
      <t>ゼン</t>
    </rPh>
    <rPh sb="20" eb="21">
      <t>コ</t>
    </rPh>
    <phoneticPr fontId="4"/>
  </si>
  <si>
    <t>・納品・引取り共に現場到着日の、2日前の午前中までにご連絡をお願いします。</t>
    <rPh sb="1" eb="3">
      <t>ノウヒン</t>
    </rPh>
    <rPh sb="4" eb="6">
      <t>ヒキト</t>
    </rPh>
    <rPh sb="7" eb="8">
      <t>トモ</t>
    </rPh>
    <rPh sb="9" eb="11">
      <t>ゲンバ</t>
    </rPh>
    <rPh sb="11" eb="13">
      <t>トウチャク</t>
    </rPh>
    <rPh sb="13" eb="14">
      <t>ビ</t>
    </rPh>
    <rPh sb="17" eb="18">
      <t>ニチ</t>
    </rPh>
    <rPh sb="18" eb="19">
      <t>マエ</t>
    </rPh>
    <rPh sb="20" eb="23">
      <t>ゴゼンチュウ</t>
    </rPh>
    <rPh sb="27" eb="29">
      <t>レンラク</t>
    </rPh>
    <rPh sb="31" eb="32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</si>
</sst>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"/>
    <numFmt numFmtId="178" formatCode="0.000_);[Red]\(0.000\)"/>
    <numFmt numFmtId="179" formatCode="0.0_);[Red]\(0.0\)"/>
    <numFmt numFmtId="180" formatCode="0.000_ "/>
    <numFmt numFmtId="181" formatCode="0.000"/>
    <numFmt numFmtId="182" formatCode="#,##0.0_ "/>
    <numFmt numFmtId="183" formatCode="#,##0.00_ "/>
    <numFmt numFmtId="184" formatCode="yyyy&quot;年&quot;m&quot;月&quot;d&quot;日&quot;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1">
      <alignment horizontal="center" vertical="center"/>
    </xf>
    <xf numFmtId="38" fontId="1" fillId="0" borderId="0" applyFont="0" applyFill="0" applyBorder="0" applyAlignment="0" applyProtection="0"/>
  </cellStyleXfs>
  <cellXfs count="438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9" fillId="0" borderId="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horizontal="center" vertical="top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right" vertical="center"/>
      <protection locked="0"/>
    </xf>
    <xf numFmtId="0" fontId="9" fillId="3" borderId="5" xfId="0" applyFont="1" applyFill="1" applyBorder="1" applyAlignment="1" applyProtection="1">
      <alignment horizontal="right" vertical="top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82" fontId="0" fillId="0" borderId="0" xfId="0" applyNumberFormat="1"/>
    <xf numFmtId="179" fontId="0" fillId="0" borderId="0" xfId="0" applyNumberFormat="1"/>
    <xf numFmtId="49" fontId="5" fillId="0" borderId="12" xfId="0" applyNumberFormat="1" applyFont="1" applyBorder="1" applyAlignment="1">
      <alignment horizontal="center"/>
    </xf>
    <xf numFmtId="179" fontId="0" fillId="3" borderId="14" xfId="0" applyNumberFormat="1" applyFill="1" applyBorder="1" applyProtection="1">
      <protection locked="0"/>
    </xf>
    <xf numFmtId="49" fontId="0" fillId="0" borderId="12" xfId="0" applyNumberFormat="1" applyBorder="1" applyAlignment="1">
      <alignment horizontal="center" vertical="center"/>
    </xf>
    <xf numFmtId="17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Protection="1">
      <protection locked="0"/>
    </xf>
    <xf numFmtId="179" fontId="0" fillId="0" borderId="17" xfId="0" applyNumberFormat="1" applyBorder="1"/>
    <xf numFmtId="179" fontId="0" fillId="0" borderId="18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center"/>
    </xf>
    <xf numFmtId="179" fontId="0" fillId="0" borderId="22" xfId="0" applyNumberFormat="1" applyBorder="1" applyAlignment="1">
      <alignment horizontal="right"/>
    </xf>
    <xf numFmtId="179" fontId="0" fillId="0" borderId="21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179" fontId="0" fillId="0" borderId="25" xfId="0" applyNumberFormat="1" applyBorder="1"/>
    <xf numFmtId="179" fontId="0" fillId="0" borderId="27" xfId="0" applyNumberFormat="1" applyBorder="1" applyAlignment="1">
      <alignment horizontal="right"/>
    </xf>
    <xf numFmtId="179" fontId="0" fillId="0" borderId="26" xfId="0" applyNumberFormat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82" fontId="0" fillId="0" borderId="30" xfId="0" applyNumberFormat="1" applyBorder="1" applyAlignment="1">
      <alignment horizontal="center"/>
    </xf>
    <xf numFmtId="179" fontId="0" fillId="0" borderId="28" xfId="0" applyNumberFormat="1" applyBorder="1" applyAlignment="1">
      <alignment horizontal="center"/>
    </xf>
    <xf numFmtId="179" fontId="0" fillId="0" borderId="30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79" fontId="0" fillId="0" borderId="7" xfId="0" applyNumberFormat="1" applyBorder="1" applyAlignment="1">
      <alignment horizontal="right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/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/>
    <xf numFmtId="0" fontId="9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9" fillId="0" borderId="35" xfId="0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9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9" fillId="0" borderId="36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49" fontId="0" fillId="3" borderId="33" xfId="0" applyNumberFormat="1" applyFill="1" applyBorder="1" applyAlignment="1" applyProtection="1">
      <alignment horizontal="center"/>
      <protection locked="0"/>
    </xf>
    <xf numFmtId="49" fontId="0" fillId="3" borderId="34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left" vertical="center"/>
    </xf>
    <xf numFmtId="49" fontId="0" fillId="0" borderId="36" xfId="0" applyNumberFormat="1" applyBorder="1"/>
    <xf numFmtId="0" fontId="0" fillId="3" borderId="33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49" fontId="0" fillId="3" borderId="34" xfId="0" applyNumberFormat="1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0" borderId="33" xfId="0" applyBorder="1"/>
    <xf numFmtId="0" fontId="0" fillId="0" borderId="34" xfId="0" applyBorder="1"/>
    <xf numFmtId="0" fontId="0" fillId="3" borderId="39" xfId="0" applyFill="1" applyBorder="1" applyAlignment="1" applyProtection="1">
      <alignment vertical="center"/>
      <protection locked="0"/>
    </xf>
    <xf numFmtId="0" fontId="0" fillId="3" borderId="40" xfId="0" applyFill="1" applyBorder="1" applyProtection="1">
      <protection locked="0"/>
    </xf>
    <xf numFmtId="49" fontId="0" fillId="3" borderId="34" xfId="0" applyNumberFormat="1" applyFill="1" applyBorder="1" applyAlignment="1" applyProtection="1">
      <alignment horizontal="left"/>
      <protection locked="0"/>
    </xf>
    <xf numFmtId="49" fontId="0" fillId="0" borderId="34" xfId="0" applyNumberFormat="1" applyBorder="1" applyAlignment="1">
      <alignment horizontal="left" shrinkToFit="1"/>
    </xf>
    <xf numFmtId="0" fontId="0" fillId="0" borderId="40" xfId="0" applyBorder="1"/>
    <xf numFmtId="49" fontId="0" fillId="3" borderId="37" xfId="0" applyNumberFormat="1" applyFill="1" applyBorder="1" applyAlignment="1" applyProtection="1">
      <alignment horizontal="center"/>
      <protection locked="0"/>
    </xf>
    <xf numFmtId="49" fontId="0" fillId="3" borderId="36" xfId="0" applyNumberFormat="1" applyFill="1" applyBorder="1" applyAlignment="1" applyProtection="1">
      <alignment horizontal="center"/>
      <protection locked="0"/>
    </xf>
    <xf numFmtId="49" fontId="10" fillId="3" borderId="34" xfId="0" applyNumberFormat="1" applyFont="1" applyFill="1" applyBorder="1" applyAlignment="1" applyProtection="1">
      <alignment horizontal="right"/>
      <protection locked="0"/>
    </xf>
    <xf numFmtId="0" fontId="5" fillId="0" borderId="33" xfId="0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center"/>
    </xf>
    <xf numFmtId="49" fontId="0" fillId="0" borderId="34" xfId="0" applyNumberFormat="1" applyBorder="1" applyAlignment="1">
      <alignment horizontal="left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41" xfId="0" applyBorder="1" applyAlignment="1">
      <alignment horizontal="left" vertical="center"/>
    </xf>
    <xf numFmtId="49" fontId="0" fillId="3" borderId="44" xfId="0" applyNumberFormat="1" applyFill="1" applyBorder="1" applyAlignment="1" applyProtection="1">
      <alignment horizontal="center"/>
      <protection locked="0"/>
    </xf>
    <xf numFmtId="49" fontId="0" fillId="3" borderId="45" xfId="0" applyNumberFormat="1" applyFill="1" applyBorder="1" applyAlignment="1" applyProtection="1">
      <alignment horizontal="left"/>
      <protection locked="0"/>
    </xf>
    <xf numFmtId="0" fontId="0" fillId="3" borderId="42" xfId="0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0" fillId="0" borderId="8" xfId="0" applyBorder="1"/>
    <xf numFmtId="0" fontId="0" fillId="0" borderId="46" xfId="0" applyBorder="1"/>
    <xf numFmtId="179" fontId="0" fillId="0" borderId="47" xfId="0" applyNumberFormat="1" applyBorder="1" applyAlignment="1">
      <alignment horizontal="right"/>
    </xf>
    <xf numFmtId="0" fontId="0" fillId="0" borderId="48" xfId="0" applyBorder="1"/>
    <xf numFmtId="0" fontId="0" fillId="0" borderId="17" xfId="0" applyBorder="1"/>
    <xf numFmtId="0" fontId="0" fillId="0" borderId="49" xfId="0" applyBorder="1"/>
    <xf numFmtId="179" fontId="0" fillId="0" borderId="50" xfId="0" applyNumberFormat="1" applyBorder="1" applyAlignment="1">
      <alignment horizontal="right"/>
    </xf>
    <xf numFmtId="182" fontId="0" fillId="2" borderId="0" xfId="0" applyNumberFormat="1" applyFill="1"/>
    <xf numFmtId="179" fontId="0" fillId="2" borderId="0" xfId="0" applyNumberFormat="1" applyFill="1"/>
    <xf numFmtId="179" fontId="9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vertical="center"/>
    </xf>
    <xf numFmtId="179" fontId="10" fillId="0" borderId="0" xfId="0" applyNumberFormat="1" applyFont="1" applyAlignment="1">
      <alignment vertical="center"/>
    </xf>
    <xf numFmtId="17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79" fontId="5" fillId="0" borderId="13" xfId="0" applyNumberFormat="1" applyFont="1" applyBorder="1" applyAlignment="1">
      <alignment horizontal="right" shrinkToFit="1"/>
    </xf>
    <xf numFmtId="179" fontId="5" fillId="0" borderId="52" xfId="0" applyNumberFormat="1" applyFont="1" applyBorder="1" applyAlignment="1">
      <alignment horizontal="right" shrinkToFit="1"/>
    </xf>
    <xf numFmtId="179" fontId="5" fillId="3" borderId="52" xfId="0" applyNumberFormat="1" applyFont="1" applyFill="1" applyBorder="1" applyAlignment="1" applyProtection="1">
      <alignment horizontal="right" shrinkToFit="1"/>
      <protection locked="0"/>
    </xf>
    <xf numFmtId="179" fontId="5" fillId="0" borderId="10" xfId="0" applyNumberFormat="1" applyFont="1" applyBorder="1" applyAlignment="1">
      <alignment horizontal="right" shrinkToFit="1"/>
    </xf>
    <xf numFmtId="179" fontId="5" fillId="3" borderId="20" xfId="0" applyNumberFormat="1" applyFont="1" applyFill="1" applyBorder="1" applyAlignment="1" applyProtection="1">
      <alignment horizontal="right" shrinkToFit="1"/>
      <protection locked="0"/>
    </xf>
    <xf numFmtId="179" fontId="5" fillId="0" borderId="53" xfId="0" applyNumberFormat="1" applyFont="1" applyBorder="1" applyAlignment="1">
      <alignment horizontal="right" shrinkToFit="1"/>
    </xf>
    <xf numFmtId="179" fontId="5" fillId="0" borderId="54" xfId="0" applyNumberFormat="1" applyFont="1" applyBorder="1" applyAlignment="1">
      <alignment horizontal="right" shrinkToFit="1"/>
    </xf>
    <xf numFmtId="179" fontId="5" fillId="3" borderId="54" xfId="0" applyNumberFormat="1" applyFont="1" applyFill="1" applyBorder="1" applyAlignment="1" applyProtection="1">
      <alignment horizontal="right" shrinkToFit="1"/>
      <protection locked="0"/>
    </xf>
    <xf numFmtId="179" fontId="5" fillId="0" borderId="13" xfId="0" applyNumberFormat="1" applyFont="1" applyBorder="1" applyAlignment="1">
      <alignment horizontal="right" vertical="center" shrinkToFit="1"/>
    </xf>
    <xf numFmtId="179" fontId="5" fillId="0" borderId="52" xfId="0" applyNumberFormat="1" applyFont="1" applyBorder="1" applyAlignment="1">
      <alignment horizontal="right" vertical="center" shrinkToFit="1"/>
    </xf>
    <xf numFmtId="179" fontId="5" fillId="0" borderId="54" xfId="0" applyNumberFormat="1" applyFont="1" applyBorder="1" applyAlignment="1">
      <alignment horizontal="right" vertical="center" shrinkToFit="1"/>
    </xf>
    <xf numFmtId="179" fontId="5" fillId="0" borderId="53" xfId="0" applyNumberFormat="1" applyFont="1" applyBorder="1" applyAlignment="1">
      <alignment horizontal="right" vertical="center" shrinkToFit="1"/>
    </xf>
    <xf numFmtId="179" fontId="5" fillId="3" borderId="54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55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2" xfId="0" applyNumberFormat="1" applyFont="1" applyFill="1" applyBorder="1" applyAlignment="1" applyProtection="1">
      <alignment horizontal="right" shrinkToFit="1"/>
      <protection locked="0"/>
    </xf>
    <xf numFmtId="176" fontId="14" fillId="3" borderId="34" xfId="0" applyNumberFormat="1" applyFont="1" applyFill="1" applyBorder="1" applyAlignment="1" applyProtection="1">
      <alignment horizontal="right" shrinkToFit="1"/>
      <protection locked="0"/>
    </xf>
    <xf numFmtId="176" fontId="14" fillId="3" borderId="38" xfId="0" applyNumberFormat="1" applyFont="1" applyFill="1" applyBorder="1" applyAlignment="1" applyProtection="1">
      <alignment horizontal="right" shrinkToFit="1"/>
      <protection locked="0"/>
    </xf>
    <xf numFmtId="176" fontId="14" fillId="3" borderId="10" xfId="0" applyNumberFormat="1" applyFont="1" applyFill="1" applyBorder="1" applyAlignment="1" applyProtection="1">
      <alignment horizontal="right" shrinkToFit="1"/>
      <protection locked="0"/>
    </xf>
    <xf numFmtId="176" fontId="14" fillId="3" borderId="36" xfId="0" applyNumberFormat="1" applyFont="1" applyFill="1" applyBorder="1" applyAlignment="1" applyProtection="1">
      <alignment horizontal="right" shrinkToFit="1"/>
      <protection locked="0"/>
    </xf>
    <xf numFmtId="176" fontId="14" fillId="3" borderId="13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52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52" xfId="0" applyNumberFormat="1" applyFont="1" applyFill="1" applyBorder="1" applyAlignment="1" applyProtection="1">
      <alignment horizontal="right" shrinkToFit="1"/>
      <protection locked="0"/>
    </xf>
    <xf numFmtId="176" fontId="14" fillId="3" borderId="20" xfId="0" applyNumberFormat="1" applyFont="1" applyFill="1" applyBorder="1" applyAlignment="1" applyProtection="1">
      <alignment horizontal="right" shrinkToFit="1"/>
      <protection locked="0"/>
    </xf>
    <xf numFmtId="176" fontId="14" fillId="3" borderId="32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4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5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36" xfId="0" applyNumberFormat="1" applyFont="1" applyFill="1" applyBorder="1" applyAlignment="1" applyProtection="1">
      <alignment horizontal="right" vertical="center" shrinkToFit="1"/>
      <protection locked="0"/>
    </xf>
    <xf numFmtId="176" fontId="14" fillId="3" borderId="56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33" xfId="0" applyBorder="1" applyAlignment="1">
      <alignment horizontal="center" vertical="center"/>
    </xf>
    <xf numFmtId="49" fontId="0" fillId="0" borderId="38" xfId="0" applyNumberFormat="1" applyBorder="1"/>
    <xf numFmtId="179" fontId="5" fillId="0" borderId="51" xfId="0" applyNumberFormat="1" applyFont="1" applyBorder="1" applyAlignment="1">
      <alignment horizontal="right" shrinkToFit="1"/>
    </xf>
    <xf numFmtId="0" fontId="10" fillId="0" borderId="7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0" fillId="0" borderId="39" xfId="0" applyBorder="1"/>
    <xf numFmtId="176" fontId="14" fillId="3" borderId="92" xfId="0" applyNumberFormat="1" applyFont="1" applyFill="1" applyBorder="1" applyAlignment="1" applyProtection="1">
      <alignment horizontal="right" vertical="center" shrinkToFit="1"/>
      <protection locked="0"/>
    </xf>
    <xf numFmtId="179" fontId="5" fillId="0" borderId="55" xfId="0" applyNumberFormat="1" applyFont="1" applyBorder="1" applyAlignment="1">
      <alignment horizontal="right" shrinkToFit="1"/>
    </xf>
    <xf numFmtId="0" fontId="0" fillId="0" borderId="18" xfId="0" applyBorder="1"/>
    <xf numFmtId="176" fontId="14" fillId="3" borderId="24" xfId="0" applyNumberFormat="1" applyFont="1" applyFill="1" applyBorder="1" applyAlignment="1" applyProtection="1">
      <alignment horizontal="right" vertical="center" shrinkToFit="1"/>
      <protection locked="0"/>
    </xf>
    <xf numFmtId="179" fontId="5" fillId="3" borderId="93" xfId="0" applyNumberFormat="1" applyFont="1" applyFill="1" applyBorder="1" applyAlignment="1" applyProtection="1">
      <alignment horizontal="right" shrinkToFit="1"/>
      <protection locked="0"/>
    </xf>
    <xf numFmtId="2" fontId="10" fillId="0" borderId="28" xfId="0" applyNumberFormat="1" applyFont="1" applyBorder="1" applyAlignment="1">
      <alignment vertical="center" shrinkToFit="1"/>
    </xf>
    <xf numFmtId="2" fontId="10" fillId="0" borderId="75" xfId="0" applyNumberFormat="1" applyFont="1" applyBorder="1" applyAlignment="1">
      <alignment vertical="center" shrinkToFit="1"/>
    </xf>
    <xf numFmtId="179" fontId="0" fillId="0" borderId="28" xfId="0" applyNumberFormat="1" applyBorder="1" applyAlignment="1">
      <alignment horizontal="right"/>
    </xf>
    <xf numFmtId="179" fontId="0" fillId="3" borderId="20" xfId="0" applyNumberFormat="1" applyFill="1" applyBorder="1" applyAlignment="1" applyProtection="1">
      <alignment horizontal="right" shrinkToFit="1"/>
      <protection locked="0"/>
    </xf>
    <xf numFmtId="49" fontId="10" fillId="0" borderId="34" xfId="0" applyNumberFormat="1" applyFont="1" applyBorder="1" applyAlignment="1">
      <alignment horizontal="left"/>
    </xf>
    <xf numFmtId="49" fontId="10" fillId="3" borderId="34" xfId="0" applyNumberFormat="1" applyFont="1" applyFill="1" applyBorder="1" applyAlignment="1" applyProtection="1">
      <alignment horizontal="left"/>
      <protection locked="0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left" vertical="center"/>
    </xf>
    <xf numFmtId="179" fontId="5" fillId="0" borderId="55" xfId="0" applyNumberFormat="1" applyFont="1" applyBorder="1" applyAlignment="1">
      <alignment horizontal="right" vertical="center" shrinkToFit="1"/>
    </xf>
    <xf numFmtId="49" fontId="0" fillId="0" borderId="32" xfId="0" applyNumberFormat="1" applyBorder="1" applyAlignment="1">
      <alignment horizontal="left" vertical="center"/>
    </xf>
    <xf numFmtId="49" fontId="1" fillId="0" borderId="0" xfId="0" applyNumberFormat="1" applyFont="1"/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0" xfId="0" applyNumberFormat="1" applyFont="1"/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left"/>
    </xf>
    <xf numFmtId="49" fontId="20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/>
    <xf numFmtId="49" fontId="6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left"/>
    </xf>
    <xf numFmtId="2" fontId="10" fillId="0" borderId="28" xfId="0" applyNumberFormat="1" applyFont="1" applyBorder="1" applyAlignment="1">
      <alignment horizontal="center" vertical="center" shrinkToFit="1"/>
    </xf>
    <xf numFmtId="2" fontId="10" fillId="0" borderId="75" xfId="0" applyNumberFormat="1" applyFont="1" applyBorder="1" applyAlignment="1">
      <alignment horizontal="center" vertical="center" shrinkToFit="1"/>
    </xf>
    <xf numFmtId="177" fontId="10" fillId="3" borderId="28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75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28" xfId="0" applyFont="1" applyFill="1" applyBorder="1" applyAlignment="1" applyProtection="1">
      <alignment horizontal="right" vertical="center" shrinkToFit="1"/>
      <protection locked="0"/>
    </xf>
    <xf numFmtId="0" fontId="14" fillId="3" borderId="30" xfId="0" applyFont="1" applyFill="1" applyBorder="1" applyAlignment="1" applyProtection="1">
      <alignment horizontal="right" vertical="center" shrinkToFit="1"/>
      <protection locked="0"/>
    </xf>
    <xf numFmtId="0" fontId="10" fillId="0" borderId="7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0" fillId="3" borderId="74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0" borderId="7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2" fontId="10" fillId="3" borderId="28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7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9" xfId="0" applyBorder="1" applyAlignment="1">
      <alignment horizontal="center" shrinkToFit="1"/>
    </xf>
    <xf numFmtId="0" fontId="0" fillId="0" borderId="61" xfId="0" applyBorder="1" applyAlignment="1">
      <alignment horizontal="center" shrinkToFit="1"/>
    </xf>
    <xf numFmtId="0" fontId="0" fillId="0" borderId="62" xfId="0" applyBorder="1" applyAlignment="1">
      <alignment horizontal="center" shrinkToFit="1"/>
    </xf>
    <xf numFmtId="1" fontId="14" fillId="3" borderId="69" xfId="0" applyNumberFormat="1" applyFont="1" applyFill="1" applyBorder="1" applyAlignment="1" applyProtection="1">
      <alignment horizontal="right" vertical="center" shrinkToFit="1"/>
      <protection locked="0"/>
    </xf>
    <xf numFmtId="1" fontId="14" fillId="3" borderId="6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8" xfId="0" applyFont="1" applyFill="1" applyBorder="1" applyAlignment="1" applyProtection="1">
      <alignment horizontal="left" vertical="center"/>
      <protection locked="0"/>
    </xf>
    <xf numFmtId="0" fontId="10" fillId="0" borderId="57" xfId="0" applyFont="1" applyBorder="1" applyAlignment="1">
      <alignment horizontal="right" vertical="center"/>
    </xf>
    <xf numFmtId="0" fontId="10" fillId="0" borderId="58" xfId="0" applyFont="1" applyBorder="1" applyAlignment="1">
      <alignment horizontal="right" vertical="center"/>
    </xf>
    <xf numFmtId="180" fontId="0" fillId="0" borderId="57" xfId="0" applyNumberFormat="1" applyBorder="1" applyAlignment="1">
      <alignment horizontal="right" vertical="center" shrinkToFit="1"/>
    </xf>
    <xf numFmtId="180" fontId="0" fillId="0" borderId="58" xfId="0" applyNumberFormat="1" applyBorder="1" applyAlignment="1">
      <alignment horizontal="right" vertical="center" shrinkToFit="1"/>
    </xf>
    <xf numFmtId="180" fontId="0" fillId="0" borderId="59" xfId="0" applyNumberFormat="1" applyBorder="1" applyAlignment="1">
      <alignment horizontal="right" vertical="center" shrinkToFit="1"/>
    </xf>
    <xf numFmtId="0" fontId="14" fillId="3" borderId="77" xfId="0" applyFont="1" applyFill="1" applyBorder="1" applyAlignment="1" applyProtection="1">
      <alignment horizontal="right" vertical="center" shrinkToFit="1"/>
      <protection locked="0"/>
    </xf>
    <xf numFmtId="0" fontId="14" fillId="3" borderId="78" xfId="0" applyFont="1" applyFill="1" applyBorder="1" applyAlignment="1" applyProtection="1">
      <alignment horizontal="right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" fillId="0" borderId="8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0" borderId="8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77" fontId="10" fillId="0" borderId="28" xfId="0" applyNumberFormat="1" applyFont="1" applyBorder="1" applyAlignment="1">
      <alignment horizontal="center" vertical="center" shrinkToFit="1"/>
    </xf>
    <xf numFmtId="177" fontId="10" fillId="0" borderId="75" xfId="0" applyNumberFormat="1" applyFont="1" applyBorder="1" applyAlignment="1">
      <alignment horizontal="center" vertical="center" shrinkToFi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10" fillId="0" borderId="6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2" fontId="10" fillId="0" borderId="99" xfId="0" applyNumberFormat="1" applyFont="1" applyBorder="1" applyAlignment="1">
      <alignment horizontal="center" vertical="center" shrinkToFit="1"/>
    </xf>
    <xf numFmtId="2" fontId="10" fillId="0" borderId="2" xfId="0" applyNumberFormat="1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4" fillId="3" borderId="99" xfId="0" applyFont="1" applyFill="1" applyBorder="1" applyAlignment="1" applyProtection="1">
      <alignment horizontal="right" vertical="center" shrinkToFit="1"/>
      <protection locked="0"/>
    </xf>
    <xf numFmtId="0" fontId="14" fillId="3" borderId="100" xfId="0" applyFont="1" applyFill="1" applyBorder="1" applyAlignment="1" applyProtection="1">
      <alignment horizontal="right" vertical="center" shrinkToFit="1"/>
      <protection locked="0"/>
    </xf>
    <xf numFmtId="0" fontId="10" fillId="0" borderId="8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 applyProtection="1">
      <alignment horizontal="left" vertical="center"/>
      <protection locked="0"/>
    </xf>
    <xf numFmtId="0" fontId="10" fillId="0" borderId="76" xfId="0" applyFont="1" applyBorder="1" applyAlignment="1">
      <alignment horizontal="left" vertical="center"/>
    </xf>
    <xf numFmtId="0" fontId="10" fillId="0" borderId="76" xfId="0" applyFont="1" applyBorder="1" applyAlignment="1" applyProtection="1">
      <alignment horizontal="left" vertical="center"/>
      <protection locked="0"/>
    </xf>
    <xf numFmtId="2" fontId="10" fillId="0" borderId="28" xfId="0" applyNumberFormat="1" applyFont="1" applyBorder="1" applyAlignment="1" applyProtection="1">
      <alignment horizontal="center" vertical="center" shrinkToFit="1"/>
      <protection locked="0"/>
    </xf>
    <xf numFmtId="2" fontId="10" fillId="0" borderId="75" xfId="0" applyNumberFormat="1" applyFont="1" applyBorder="1" applyAlignment="1" applyProtection="1">
      <alignment horizontal="center" vertical="center" shrinkToFit="1"/>
      <protection locked="0"/>
    </xf>
    <xf numFmtId="0" fontId="14" fillId="3" borderId="84" xfId="0" applyFont="1" applyFill="1" applyBorder="1" applyAlignment="1" applyProtection="1">
      <alignment horizontal="right" vertical="center" shrinkToFit="1"/>
      <protection locked="0"/>
    </xf>
    <xf numFmtId="0" fontId="14" fillId="3" borderId="86" xfId="0" applyFont="1" applyFill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3" borderId="87" xfId="0" applyFont="1" applyFill="1" applyBorder="1" applyAlignment="1" applyProtection="1">
      <alignment horizontal="left" vertical="center"/>
      <protection locked="0"/>
    </xf>
    <xf numFmtId="177" fontId="10" fillId="3" borderId="77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89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77" xfId="0" applyFont="1" applyFill="1" applyBorder="1" applyAlignment="1" applyProtection="1">
      <alignment horizontal="center" vertical="center"/>
      <protection locked="0"/>
    </xf>
    <xf numFmtId="0" fontId="10" fillId="3" borderId="89" xfId="0" applyFont="1" applyFill="1" applyBorder="1" applyAlignment="1" applyProtection="1">
      <alignment horizontal="center" vertical="center"/>
      <protection locked="0"/>
    </xf>
    <xf numFmtId="40" fontId="10" fillId="0" borderId="28" xfId="2" applyNumberFormat="1" applyFont="1" applyBorder="1" applyAlignment="1" applyProtection="1">
      <alignment horizontal="center" vertical="center" shrinkToFit="1"/>
      <protection locked="0"/>
    </xf>
    <xf numFmtId="40" fontId="10" fillId="0" borderId="75" xfId="2" applyNumberFormat="1" applyFont="1" applyBorder="1" applyAlignment="1" applyProtection="1">
      <alignment horizontal="center" vertical="center" shrinkToFit="1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75" xfId="0" applyFont="1" applyFill="1" applyBorder="1" applyAlignment="1" applyProtection="1">
      <alignment horizontal="center" vertical="center"/>
      <protection locked="0"/>
    </xf>
    <xf numFmtId="0" fontId="0" fillId="3" borderId="76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2" fontId="10" fillId="0" borderId="84" xfId="0" applyNumberFormat="1" applyFont="1" applyBorder="1" applyAlignment="1">
      <alignment horizontal="center" vertical="center" shrinkToFit="1"/>
    </xf>
    <xf numFmtId="2" fontId="10" fillId="0" borderId="85" xfId="0" applyNumberFormat="1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left" vertical="center"/>
    </xf>
    <xf numFmtId="0" fontId="10" fillId="0" borderId="83" xfId="0" applyFont="1" applyBorder="1" applyAlignment="1">
      <alignment horizontal="left" vertical="center"/>
    </xf>
    <xf numFmtId="0" fontId="10" fillId="0" borderId="83" xfId="0" applyFont="1" applyBorder="1" applyAlignment="1">
      <alignment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3" borderId="8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7" fontId="10" fillId="0" borderId="84" xfId="0" applyNumberFormat="1" applyFont="1" applyBorder="1" applyAlignment="1">
      <alignment horizontal="center" vertical="center" shrinkToFit="1"/>
    </xf>
    <xf numFmtId="177" fontId="10" fillId="0" borderId="85" xfId="0" applyNumberFormat="1" applyFont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0" fillId="0" borderId="97" xfId="0" applyFont="1" applyBorder="1" applyAlignment="1">
      <alignment vertical="center"/>
    </xf>
    <xf numFmtId="0" fontId="10" fillId="0" borderId="98" xfId="0" applyFont="1" applyBorder="1" applyAlignment="1">
      <alignment vertical="center"/>
    </xf>
    <xf numFmtId="0" fontId="10" fillId="0" borderId="5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77" fontId="10" fillId="0" borderId="61" xfId="0" applyNumberFormat="1" applyFont="1" applyBorder="1" applyAlignment="1">
      <alignment horizontal="center" vertical="center" shrinkToFit="1"/>
    </xf>
    <xf numFmtId="177" fontId="10" fillId="0" borderId="73" xfId="0" applyNumberFormat="1" applyFont="1" applyBorder="1" applyAlignment="1">
      <alignment horizontal="center" vertical="center" shrinkToFit="1"/>
    </xf>
    <xf numFmtId="1" fontId="14" fillId="3" borderId="71" xfId="0" applyNumberFormat="1" applyFont="1" applyFill="1" applyBorder="1" applyAlignment="1" applyProtection="1">
      <alignment horizontal="right" vertical="center" shrinkToFit="1"/>
      <protection locked="0"/>
    </xf>
    <xf numFmtId="1" fontId="14" fillId="3" borderId="1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71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10" fillId="3" borderId="28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30" xfId="0" applyFont="1" applyFill="1" applyBorder="1" applyAlignment="1" applyProtection="1">
      <alignment horizontal="left" vertical="center"/>
      <protection locked="0"/>
    </xf>
    <xf numFmtId="0" fontId="10" fillId="3" borderId="76" xfId="0" applyFont="1" applyFill="1" applyBorder="1" applyAlignment="1" applyProtection="1">
      <alignment horizontal="left" vertical="center"/>
      <protection locked="0"/>
    </xf>
    <xf numFmtId="177" fontId="10" fillId="0" borderId="63" xfId="0" applyNumberFormat="1" applyFont="1" applyBorder="1" applyAlignment="1">
      <alignment horizontal="center" vertical="center"/>
    </xf>
    <xf numFmtId="177" fontId="10" fillId="0" borderId="64" xfId="0" applyNumberFormat="1" applyFont="1" applyBorder="1" applyAlignment="1">
      <alignment horizontal="center" vertical="center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177" fontId="10" fillId="0" borderId="58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 shrinkToFit="1"/>
    </xf>
    <xf numFmtId="177" fontId="10" fillId="0" borderId="72" xfId="0" applyNumberFormat="1" applyFont="1" applyBorder="1" applyAlignment="1">
      <alignment horizontal="center" vertical="center" shrinkToFit="1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0" fillId="3" borderId="71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2" fontId="10" fillId="4" borderId="10" xfId="0" applyNumberFormat="1" applyFont="1" applyFill="1" applyBorder="1" applyAlignment="1">
      <alignment horizontal="center" vertical="center" shrinkToFit="1"/>
    </xf>
    <xf numFmtId="2" fontId="10" fillId="4" borderId="72" xfId="0" applyNumberFormat="1" applyFont="1" applyFill="1" applyBorder="1" applyAlignment="1">
      <alignment horizontal="center" vertical="center" shrinkToFit="1"/>
    </xf>
    <xf numFmtId="0" fontId="10" fillId="4" borderId="71" xfId="0" applyFont="1" applyFill="1" applyBorder="1" applyAlignment="1" applyProtection="1">
      <alignment horizontal="left" vertical="center"/>
      <protection locked="0"/>
    </xf>
    <xf numFmtId="0" fontId="10" fillId="4" borderId="10" xfId="0" applyFont="1" applyFill="1" applyBorder="1" applyAlignment="1" applyProtection="1">
      <alignment horizontal="left" vertical="center"/>
      <protection locked="0"/>
    </xf>
    <xf numFmtId="0" fontId="10" fillId="4" borderId="11" xfId="0" applyFont="1" applyFill="1" applyBorder="1" applyAlignment="1" applyProtection="1">
      <alignment horizontal="left" vertical="center"/>
      <protection locked="0"/>
    </xf>
    <xf numFmtId="1" fontId="14" fillId="3" borderId="10" xfId="0" applyNumberFormat="1" applyFont="1" applyFill="1" applyBorder="1" applyAlignment="1" applyProtection="1">
      <alignment horizontal="right" vertical="center" shrinkToFit="1"/>
      <protection locked="0"/>
    </xf>
    <xf numFmtId="2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7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71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7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14" fillId="3" borderId="19" xfId="0" applyNumberFormat="1" applyFont="1" applyFill="1" applyBorder="1" applyAlignment="1" applyProtection="1">
      <alignment horizontal="right" vertical="center" shrinkToFit="1"/>
      <protection locked="0"/>
    </xf>
    <xf numFmtId="1" fontId="14" fillId="3" borderId="21" xfId="0" applyNumberFormat="1" applyFont="1" applyFill="1" applyBorder="1" applyAlignment="1" applyProtection="1">
      <alignment horizontal="right" vertical="center" shrinkToFit="1"/>
      <protection locked="0"/>
    </xf>
    <xf numFmtId="2" fontId="10" fillId="3" borderId="95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96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94" xfId="0" applyFont="1" applyFill="1" applyBorder="1" applyAlignment="1" applyProtection="1">
      <alignment horizontal="left" vertical="center"/>
      <protection locked="0"/>
    </xf>
    <xf numFmtId="0" fontId="5" fillId="3" borderId="95" xfId="0" applyFont="1" applyFill="1" applyBorder="1" applyAlignment="1" applyProtection="1">
      <alignment horizontal="left" vertical="center"/>
      <protection locked="0"/>
    </xf>
    <xf numFmtId="0" fontId="5" fillId="3" borderId="21" xfId="0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95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177" fontId="10" fillId="0" borderId="71" xfId="0" applyNumberFormat="1" applyFont="1" applyBorder="1" applyAlignment="1">
      <alignment horizontal="right" vertical="center" shrinkToFit="1"/>
    </xf>
    <xf numFmtId="177" fontId="10" fillId="0" borderId="72" xfId="0" applyNumberFormat="1" applyFont="1" applyBorder="1" applyAlignment="1">
      <alignment horizontal="right" vertical="center" shrinkToFit="1"/>
    </xf>
    <xf numFmtId="181" fontId="0" fillId="0" borderId="57" xfId="0" applyNumberFormat="1" applyBorder="1" applyAlignment="1">
      <alignment horizontal="right" vertical="center" shrinkToFit="1"/>
    </xf>
    <xf numFmtId="181" fontId="0" fillId="0" borderId="58" xfId="0" applyNumberFormat="1" applyBorder="1" applyAlignment="1">
      <alignment horizontal="right" vertical="center" shrinkToFit="1"/>
    </xf>
    <xf numFmtId="181" fontId="0" fillId="0" borderId="59" xfId="0" applyNumberFormat="1" applyBorder="1" applyAlignment="1">
      <alignment horizontal="right" vertical="center" shrinkToFit="1"/>
    </xf>
    <xf numFmtId="1" fontId="14" fillId="3" borderId="70" xfId="0" applyNumberFormat="1" applyFont="1" applyFill="1" applyBorder="1" applyAlignment="1" applyProtection="1">
      <alignment horizontal="right" vertical="center" shrinkToFit="1"/>
      <protection locked="0"/>
    </xf>
    <xf numFmtId="1" fontId="14" fillId="3" borderId="67" xfId="0" applyNumberFormat="1" applyFont="1" applyFill="1" applyBorder="1" applyAlignment="1" applyProtection="1">
      <alignment horizontal="right" vertical="center" shrinkToFit="1"/>
      <protection locked="0"/>
    </xf>
    <xf numFmtId="177" fontId="10" fillId="0" borderId="66" xfId="0" applyNumberFormat="1" applyFont="1" applyBorder="1" applyAlignment="1">
      <alignment horizontal="center" vertical="center" shrinkToFit="1"/>
    </xf>
    <xf numFmtId="177" fontId="10" fillId="0" borderId="68" xfId="0" applyNumberFormat="1" applyFont="1" applyBorder="1" applyAlignment="1">
      <alignment horizontal="center" vertical="center" shrinkToFit="1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0" fontId="5" fillId="3" borderId="67" xfId="0" applyFont="1" applyFill="1" applyBorder="1" applyAlignment="1" applyProtection="1">
      <alignment horizontal="left" vertical="center"/>
      <protection locked="0"/>
    </xf>
    <xf numFmtId="181" fontId="0" fillId="0" borderId="4" xfId="0" applyNumberFormat="1" applyBorder="1" applyAlignment="1">
      <alignment horizontal="right" vertical="center" shrinkToFit="1"/>
    </xf>
    <xf numFmtId="181" fontId="0" fillId="0" borderId="5" xfId="0" applyNumberFormat="1" applyBorder="1" applyAlignment="1">
      <alignment horizontal="right" vertical="center" shrinkToFit="1"/>
    </xf>
    <xf numFmtId="181" fontId="0" fillId="0" borderId="6" xfId="0" applyNumberFormat="1" applyBorder="1" applyAlignment="1">
      <alignment horizontal="right" vertical="center" shrinkToFit="1"/>
    </xf>
    <xf numFmtId="0" fontId="10" fillId="3" borderId="70" xfId="0" applyFont="1" applyFill="1" applyBorder="1" applyAlignment="1" applyProtection="1">
      <alignment horizontal="left" vertical="center"/>
      <protection locked="0"/>
    </xf>
    <xf numFmtId="0" fontId="10" fillId="3" borderId="66" xfId="0" applyFont="1" applyFill="1" applyBorder="1" applyAlignment="1" applyProtection="1">
      <alignment horizontal="left" vertical="center"/>
      <protection locked="0"/>
    </xf>
    <xf numFmtId="0" fontId="10" fillId="3" borderId="67" xfId="0" applyFont="1" applyFill="1" applyBorder="1" applyAlignment="1" applyProtection="1">
      <alignment horizontal="left" vertical="center"/>
      <protection locked="0"/>
    </xf>
    <xf numFmtId="0" fontId="5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0" fillId="0" borderId="70" xfId="0" applyBorder="1" applyAlignment="1">
      <alignment horizontal="center" shrinkToFit="1"/>
    </xf>
    <xf numFmtId="0" fontId="0" fillId="0" borderId="66" xfId="0" applyBorder="1" applyAlignment="1">
      <alignment horizontal="center" shrinkToFit="1"/>
    </xf>
    <xf numFmtId="0" fontId="0" fillId="0" borderId="67" xfId="0" applyBorder="1" applyAlignment="1">
      <alignment horizontal="center" shrinkToFit="1"/>
    </xf>
    <xf numFmtId="2" fontId="10" fillId="3" borderId="66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68" xfId="0" applyNumberFormat="1" applyFont="1" applyFill="1" applyBorder="1" applyAlignment="1" applyProtection="1">
      <alignment horizontal="center" vertical="center" shrinkToFit="1"/>
      <protection locked="0"/>
    </xf>
    <xf numFmtId="1" fontId="14" fillId="3" borderId="66" xfId="0" applyNumberFormat="1" applyFont="1" applyFill="1" applyBorder="1" applyAlignment="1" applyProtection="1">
      <alignment horizontal="right" vertical="center" shrinkToFit="1"/>
      <protection locked="0"/>
    </xf>
    <xf numFmtId="2" fontId="10" fillId="3" borderId="70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6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71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2" fontId="10" fillId="3" borderId="71" xfId="0" applyNumberFormat="1" applyFont="1" applyFill="1" applyBorder="1" applyAlignment="1" applyProtection="1">
      <alignment horizontal="center" vertical="center" shrinkToFit="1"/>
      <protection locked="0"/>
    </xf>
    <xf numFmtId="2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1" fontId="14" fillId="3" borderId="61" xfId="0" applyNumberFormat="1" applyFont="1" applyFill="1" applyBorder="1" applyAlignment="1" applyProtection="1">
      <alignment horizontal="right" vertical="center" shrinkToFit="1"/>
      <protection locked="0"/>
    </xf>
    <xf numFmtId="177" fontId="10" fillId="0" borderId="69" xfId="0" applyNumberFormat="1" applyFont="1" applyBorder="1" applyAlignment="1">
      <alignment horizontal="right" vertical="center" shrinkToFit="1"/>
    </xf>
    <xf numFmtId="177" fontId="10" fillId="0" borderId="73" xfId="0" applyNumberFormat="1" applyFont="1" applyBorder="1" applyAlignment="1">
      <alignment horizontal="right"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177" fontId="10" fillId="0" borderId="69" xfId="0" applyNumberFormat="1" applyFont="1" applyBorder="1" applyAlignment="1">
      <alignment horizontal="center" vertical="center" shrinkToFit="1"/>
    </xf>
    <xf numFmtId="0" fontId="0" fillId="3" borderId="71" xfId="0" applyFill="1" applyBorder="1" applyAlignment="1" applyProtection="1">
      <alignment horizontal="left" shrinkToFit="1"/>
      <protection locked="0"/>
    </xf>
    <xf numFmtId="0" fontId="0" fillId="3" borderId="10" xfId="0" applyFill="1" applyBorder="1" applyAlignment="1" applyProtection="1">
      <alignment horizontal="left" shrinkToFit="1"/>
      <protection locked="0"/>
    </xf>
    <xf numFmtId="0" fontId="0" fillId="3" borderId="11" xfId="0" applyFill="1" applyBorder="1" applyAlignment="1" applyProtection="1">
      <alignment horizontal="left" shrinkToFit="1"/>
      <protection locked="0"/>
    </xf>
    <xf numFmtId="180" fontId="15" fillId="0" borderId="57" xfId="0" applyNumberFormat="1" applyFont="1" applyBorder="1" applyAlignment="1">
      <alignment horizontal="right" vertical="center" shrinkToFit="1"/>
    </xf>
    <xf numFmtId="180" fontId="15" fillId="0" borderId="58" xfId="0" applyNumberFormat="1" applyFont="1" applyBorder="1" applyAlignment="1">
      <alignment horizontal="right" vertical="center" shrinkToFit="1"/>
    </xf>
    <xf numFmtId="180" fontId="15" fillId="0" borderId="59" xfId="0" applyNumberFormat="1" applyFont="1" applyBorder="1" applyAlignment="1">
      <alignment horizontal="right" vertical="center" shrinkToFit="1"/>
    </xf>
    <xf numFmtId="178" fontId="15" fillId="0" borderId="57" xfId="0" applyNumberFormat="1" applyFont="1" applyBorder="1" applyAlignment="1">
      <alignment horizontal="right" vertical="center" shrinkToFit="1"/>
    </xf>
    <xf numFmtId="178" fontId="15" fillId="0" borderId="58" xfId="0" applyNumberFormat="1" applyFont="1" applyBorder="1" applyAlignment="1">
      <alignment horizontal="right" vertical="center" shrinkToFit="1"/>
    </xf>
    <xf numFmtId="178" fontId="15" fillId="0" borderId="59" xfId="0" applyNumberFormat="1" applyFont="1" applyBorder="1" applyAlignment="1">
      <alignment horizontal="right" vertical="center" shrinkToFit="1"/>
    </xf>
    <xf numFmtId="177" fontId="10" fillId="0" borderId="59" xfId="0" applyNumberFormat="1" applyFont="1" applyBorder="1" applyAlignment="1">
      <alignment horizontal="center" vertical="center"/>
    </xf>
    <xf numFmtId="177" fontId="10" fillId="3" borderId="66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0" fillId="0" borderId="6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83" fontId="15" fillId="0" borderId="91" xfId="0" applyNumberFormat="1" applyFont="1" applyBorder="1" applyAlignment="1">
      <alignment horizontal="right" shrinkToFit="1"/>
    </xf>
    <xf numFmtId="0" fontId="0" fillId="3" borderId="0" xfId="0" applyFill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182" fontId="0" fillId="0" borderId="4" xfId="0" applyNumberFormat="1" applyBorder="1" applyAlignment="1">
      <alignment horizontal="right" shrinkToFit="1"/>
    </xf>
    <xf numFmtId="182" fontId="0" fillId="0" borderId="6" xfId="0" applyNumberFormat="1" applyBorder="1" applyAlignment="1">
      <alignment horizontal="right" shrinkToFit="1"/>
    </xf>
    <xf numFmtId="179" fontId="0" fillId="0" borderId="57" xfId="0" applyNumberFormat="1" applyBorder="1" applyAlignment="1">
      <alignment horizontal="right" shrinkToFit="1"/>
    </xf>
    <xf numFmtId="179" fontId="0" fillId="0" borderId="59" xfId="0" applyNumberFormat="1" applyBorder="1" applyAlignment="1">
      <alignment horizontal="right" shrinkToFit="1"/>
    </xf>
    <xf numFmtId="49" fontId="0" fillId="3" borderId="13" xfId="0" applyNumberFormat="1" applyFill="1" applyBorder="1" applyAlignment="1" applyProtection="1">
      <alignment horizontal="left"/>
      <protection locked="0"/>
    </xf>
    <xf numFmtId="49" fontId="0" fillId="3" borderId="14" xfId="0" applyNumberFormat="1" applyFill="1" applyBorder="1" applyAlignment="1" applyProtection="1">
      <alignment horizontal="left"/>
      <protection locked="0"/>
    </xf>
    <xf numFmtId="49" fontId="0" fillId="3" borderId="24" xfId="0" applyNumberFormat="1" applyFill="1" applyBorder="1" applyAlignment="1" applyProtection="1">
      <alignment horizontal="left"/>
      <protection locked="0"/>
    </xf>
    <xf numFmtId="49" fontId="0" fillId="3" borderId="25" xfId="0" applyNumberFormat="1" applyFill="1" applyBorder="1" applyAlignment="1" applyProtection="1">
      <alignment horizontal="left"/>
      <protection locked="0"/>
    </xf>
    <xf numFmtId="184" fontId="0" fillId="3" borderId="18" xfId="0" applyNumberFormat="1" applyFill="1" applyBorder="1" applyAlignment="1" applyProtection="1">
      <alignment horizontal="center"/>
      <protection locked="0"/>
    </xf>
    <xf numFmtId="184" fontId="0" fillId="3" borderId="13" xfId="0" applyNumberFormat="1" applyFill="1" applyBorder="1" applyAlignment="1" applyProtection="1">
      <alignment horizontal="center"/>
      <protection locked="0"/>
    </xf>
    <xf numFmtId="184" fontId="0" fillId="3" borderId="14" xfId="0" applyNumberFormat="1" applyFill="1" applyBorder="1" applyAlignment="1" applyProtection="1">
      <alignment horizontal="center"/>
      <protection locked="0"/>
    </xf>
    <xf numFmtId="179" fontId="0" fillId="3" borderId="14" xfId="0" applyNumberFormat="1" applyFill="1" applyBorder="1" applyAlignment="1" applyProtection="1">
      <alignment horizontal="center"/>
      <protection locked="0"/>
    </xf>
    <xf numFmtId="179" fontId="0" fillId="3" borderId="16" xfId="0" applyNumberFormat="1" applyFill="1" applyBorder="1" applyAlignment="1" applyProtection="1">
      <alignment horizontal="center"/>
      <protection locked="0"/>
    </xf>
    <xf numFmtId="49" fontId="0" fillId="3" borderId="52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  <xf numFmtId="49" fontId="0" fillId="3" borderId="26" xfId="0" applyNumberFormat="1" applyFill="1" applyBorder="1" applyAlignment="1" applyProtection="1">
      <alignment horizontal="left"/>
      <protection locked="0"/>
    </xf>
    <xf numFmtId="179" fontId="0" fillId="3" borderId="52" xfId="0" applyNumberFormat="1" applyFill="1" applyBorder="1" applyAlignment="1" applyProtection="1">
      <alignment horizontal="left"/>
      <protection locked="0"/>
    </xf>
    <xf numFmtId="179" fontId="0" fillId="3" borderId="10" xfId="0" applyNumberFormat="1" applyFill="1" applyBorder="1" applyAlignment="1" applyProtection="1">
      <alignment horizontal="left"/>
      <protection locked="0"/>
    </xf>
    <xf numFmtId="179" fontId="0" fillId="3" borderId="11" xfId="0" applyNumberFormat="1" applyFill="1" applyBorder="1" applyAlignment="1" applyProtection="1">
      <alignment horizontal="left"/>
      <protection locked="0"/>
    </xf>
    <xf numFmtId="179" fontId="0" fillId="3" borderId="24" xfId="0" applyNumberFormat="1" applyFill="1" applyBorder="1" applyAlignment="1" applyProtection="1">
      <alignment horizontal="left"/>
      <protection locked="0"/>
    </xf>
    <xf numFmtId="179" fontId="0" fillId="3" borderId="25" xfId="0" applyNumberFormat="1" applyFill="1" applyBorder="1" applyAlignment="1" applyProtection="1">
      <alignment horizontal="left"/>
      <protection locked="0"/>
    </xf>
    <xf numFmtId="179" fontId="0" fillId="3" borderId="26" xfId="0" applyNumberFormat="1" applyFill="1" applyBorder="1" applyAlignment="1" applyProtection="1">
      <alignment horizontal="left"/>
      <protection locked="0"/>
    </xf>
  </cellXfs>
  <cellStyles count="3">
    <cellStyle name="TOMOYA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2</xdr:row>
      <xdr:rowOff>19050</xdr:rowOff>
    </xdr:from>
    <xdr:to>
      <xdr:col>17</xdr:col>
      <xdr:colOff>352425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55F214-43CB-4CC3-833E-98F8396B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61950"/>
          <a:ext cx="2571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53</xdr:col>
      <xdr:colOff>133350</xdr:colOff>
      <xdr:row>67</xdr:row>
      <xdr:rowOff>123825</xdr:rowOff>
    </xdr:from>
    <xdr:to>
      <xdr:col>64</xdr:col>
      <xdr:colOff>19050</xdr:colOff>
      <xdr:row>68</xdr:row>
      <xdr:rowOff>104775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103C1290-75F0-4C71-9C6F-D889059F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554450"/>
          <a:ext cx="2009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53</xdr:col>
      <xdr:colOff>133350</xdr:colOff>
      <xdr:row>35</xdr:row>
      <xdr:rowOff>0</xdr:rowOff>
    </xdr:from>
    <xdr:to>
      <xdr:col>64</xdr:col>
      <xdr:colOff>19050</xdr:colOff>
      <xdr:row>35</xdr:row>
      <xdr:rowOff>333375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34FEF15B-A11B-42E3-ACF6-BF5BD398A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8372475"/>
          <a:ext cx="2009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9F82-50CB-4BE6-A21E-640736303098}">
  <dimension ref="A1:AA306"/>
  <sheetViews>
    <sheetView showGridLines="0" tabSelected="1" zoomScaleNormal="100" workbookViewId="0">
      <selection sqref="A1:D2"/>
    </sheetView>
  </sheetViews>
  <sheetFormatPr defaultRowHeight="13.5"/>
  <cols>
    <col min="1" max="1" width="2.25" customWidth="1"/>
    <col min="2" max="4" width="5.625" style="178" customWidth="1"/>
    <col min="5" max="5" width="5.125" style="178" customWidth="1"/>
    <col min="6" max="27" width="5.625" style="178" customWidth="1"/>
    <col min="257" max="257" width="2.25" customWidth="1"/>
    <col min="258" max="260" width="5.625" customWidth="1"/>
    <col min="261" max="261" width="5.125" customWidth="1"/>
    <col min="262" max="283" width="5.625" customWidth="1"/>
    <col min="513" max="513" width="2.25" customWidth="1"/>
    <col min="514" max="516" width="5.625" customWidth="1"/>
    <col min="517" max="517" width="5.125" customWidth="1"/>
    <col min="518" max="539" width="5.625" customWidth="1"/>
    <col min="769" max="769" width="2.25" customWidth="1"/>
    <col min="770" max="772" width="5.625" customWidth="1"/>
    <col min="773" max="773" width="5.125" customWidth="1"/>
    <col min="774" max="795" width="5.625" customWidth="1"/>
    <col min="1025" max="1025" width="2.25" customWidth="1"/>
    <col min="1026" max="1028" width="5.625" customWidth="1"/>
    <col min="1029" max="1029" width="5.125" customWidth="1"/>
    <col min="1030" max="1051" width="5.625" customWidth="1"/>
    <col min="1281" max="1281" width="2.25" customWidth="1"/>
    <col min="1282" max="1284" width="5.625" customWidth="1"/>
    <col min="1285" max="1285" width="5.125" customWidth="1"/>
    <col min="1286" max="1307" width="5.625" customWidth="1"/>
    <col min="1537" max="1537" width="2.25" customWidth="1"/>
    <col min="1538" max="1540" width="5.625" customWidth="1"/>
    <col min="1541" max="1541" width="5.125" customWidth="1"/>
    <col min="1542" max="1563" width="5.625" customWidth="1"/>
    <col min="1793" max="1793" width="2.25" customWidth="1"/>
    <col min="1794" max="1796" width="5.625" customWidth="1"/>
    <col min="1797" max="1797" width="5.125" customWidth="1"/>
    <col min="1798" max="1819" width="5.625" customWidth="1"/>
    <col min="2049" max="2049" width="2.25" customWidth="1"/>
    <col min="2050" max="2052" width="5.625" customWidth="1"/>
    <col min="2053" max="2053" width="5.125" customWidth="1"/>
    <col min="2054" max="2075" width="5.625" customWidth="1"/>
    <col min="2305" max="2305" width="2.25" customWidth="1"/>
    <col min="2306" max="2308" width="5.625" customWidth="1"/>
    <col min="2309" max="2309" width="5.125" customWidth="1"/>
    <col min="2310" max="2331" width="5.625" customWidth="1"/>
    <col min="2561" max="2561" width="2.25" customWidth="1"/>
    <col min="2562" max="2564" width="5.625" customWidth="1"/>
    <col min="2565" max="2565" width="5.125" customWidth="1"/>
    <col min="2566" max="2587" width="5.625" customWidth="1"/>
    <col min="2817" max="2817" width="2.25" customWidth="1"/>
    <col min="2818" max="2820" width="5.625" customWidth="1"/>
    <col min="2821" max="2821" width="5.125" customWidth="1"/>
    <col min="2822" max="2843" width="5.625" customWidth="1"/>
    <col min="3073" max="3073" width="2.25" customWidth="1"/>
    <col min="3074" max="3076" width="5.625" customWidth="1"/>
    <col min="3077" max="3077" width="5.125" customWidth="1"/>
    <col min="3078" max="3099" width="5.625" customWidth="1"/>
    <col min="3329" max="3329" width="2.25" customWidth="1"/>
    <col min="3330" max="3332" width="5.625" customWidth="1"/>
    <col min="3333" max="3333" width="5.125" customWidth="1"/>
    <col min="3334" max="3355" width="5.625" customWidth="1"/>
    <col min="3585" max="3585" width="2.25" customWidth="1"/>
    <col min="3586" max="3588" width="5.625" customWidth="1"/>
    <col min="3589" max="3589" width="5.125" customWidth="1"/>
    <col min="3590" max="3611" width="5.625" customWidth="1"/>
    <col min="3841" max="3841" width="2.25" customWidth="1"/>
    <col min="3842" max="3844" width="5.625" customWidth="1"/>
    <col min="3845" max="3845" width="5.125" customWidth="1"/>
    <col min="3846" max="3867" width="5.625" customWidth="1"/>
    <col min="4097" max="4097" width="2.25" customWidth="1"/>
    <col min="4098" max="4100" width="5.625" customWidth="1"/>
    <col min="4101" max="4101" width="5.125" customWidth="1"/>
    <col min="4102" max="4123" width="5.625" customWidth="1"/>
    <col min="4353" max="4353" width="2.25" customWidth="1"/>
    <col min="4354" max="4356" width="5.625" customWidth="1"/>
    <col min="4357" max="4357" width="5.125" customWidth="1"/>
    <col min="4358" max="4379" width="5.625" customWidth="1"/>
    <col min="4609" max="4609" width="2.25" customWidth="1"/>
    <col min="4610" max="4612" width="5.625" customWidth="1"/>
    <col min="4613" max="4613" width="5.125" customWidth="1"/>
    <col min="4614" max="4635" width="5.625" customWidth="1"/>
    <col min="4865" max="4865" width="2.25" customWidth="1"/>
    <col min="4866" max="4868" width="5.625" customWidth="1"/>
    <col min="4869" max="4869" width="5.125" customWidth="1"/>
    <col min="4870" max="4891" width="5.625" customWidth="1"/>
    <col min="5121" max="5121" width="2.25" customWidth="1"/>
    <col min="5122" max="5124" width="5.625" customWidth="1"/>
    <col min="5125" max="5125" width="5.125" customWidth="1"/>
    <col min="5126" max="5147" width="5.625" customWidth="1"/>
    <col min="5377" max="5377" width="2.25" customWidth="1"/>
    <col min="5378" max="5380" width="5.625" customWidth="1"/>
    <col min="5381" max="5381" width="5.125" customWidth="1"/>
    <col min="5382" max="5403" width="5.625" customWidth="1"/>
    <col min="5633" max="5633" width="2.25" customWidth="1"/>
    <col min="5634" max="5636" width="5.625" customWidth="1"/>
    <col min="5637" max="5637" width="5.125" customWidth="1"/>
    <col min="5638" max="5659" width="5.625" customWidth="1"/>
    <col min="5889" max="5889" width="2.25" customWidth="1"/>
    <col min="5890" max="5892" width="5.625" customWidth="1"/>
    <col min="5893" max="5893" width="5.125" customWidth="1"/>
    <col min="5894" max="5915" width="5.625" customWidth="1"/>
    <col min="6145" max="6145" width="2.25" customWidth="1"/>
    <col min="6146" max="6148" width="5.625" customWidth="1"/>
    <col min="6149" max="6149" width="5.125" customWidth="1"/>
    <col min="6150" max="6171" width="5.625" customWidth="1"/>
    <col min="6401" max="6401" width="2.25" customWidth="1"/>
    <col min="6402" max="6404" width="5.625" customWidth="1"/>
    <col min="6405" max="6405" width="5.125" customWidth="1"/>
    <col min="6406" max="6427" width="5.625" customWidth="1"/>
    <col min="6657" max="6657" width="2.25" customWidth="1"/>
    <col min="6658" max="6660" width="5.625" customWidth="1"/>
    <col min="6661" max="6661" width="5.125" customWidth="1"/>
    <col min="6662" max="6683" width="5.625" customWidth="1"/>
    <col min="6913" max="6913" width="2.25" customWidth="1"/>
    <col min="6914" max="6916" width="5.625" customWidth="1"/>
    <col min="6917" max="6917" width="5.125" customWidth="1"/>
    <col min="6918" max="6939" width="5.625" customWidth="1"/>
    <col min="7169" max="7169" width="2.25" customWidth="1"/>
    <col min="7170" max="7172" width="5.625" customWidth="1"/>
    <col min="7173" max="7173" width="5.125" customWidth="1"/>
    <col min="7174" max="7195" width="5.625" customWidth="1"/>
    <col min="7425" max="7425" width="2.25" customWidth="1"/>
    <col min="7426" max="7428" width="5.625" customWidth="1"/>
    <col min="7429" max="7429" width="5.125" customWidth="1"/>
    <col min="7430" max="7451" width="5.625" customWidth="1"/>
    <col min="7681" max="7681" width="2.25" customWidth="1"/>
    <col min="7682" max="7684" width="5.625" customWidth="1"/>
    <col min="7685" max="7685" width="5.125" customWidth="1"/>
    <col min="7686" max="7707" width="5.625" customWidth="1"/>
    <col min="7937" max="7937" width="2.25" customWidth="1"/>
    <col min="7938" max="7940" width="5.625" customWidth="1"/>
    <col min="7941" max="7941" width="5.125" customWidth="1"/>
    <col min="7942" max="7963" width="5.625" customWidth="1"/>
    <col min="8193" max="8193" width="2.25" customWidth="1"/>
    <col min="8194" max="8196" width="5.625" customWidth="1"/>
    <col min="8197" max="8197" width="5.125" customWidth="1"/>
    <col min="8198" max="8219" width="5.625" customWidth="1"/>
    <col min="8449" max="8449" width="2.25" customWidth="1"/>
    <col min="8450" max="8452" width="5.625" customWidth="1"/>
    <col min="8453" max="8453" width="5.125" customWidth="1"/>
    <col min="8454" max="8475" width="5.625" customWidth="1"/>
    <col min="8705" max="8705" width="2.25" customWidth="1"/>
    <col min="8706" max="8708" width="5.625" customWidth="1"/>
    <col min="8709" max="8709" width="5.125" customWidth="1"/>
    <col min="8710" max="8731" width="5.625" customWidth="1"/>
    <col min="8961" max="8961" width="2.25" customWidth="1"/>
    <col min="8962" max="8964" width="5.625" customWidth="1"/>
    <col min="8965" max="8965" width="5.125" customWidth="1"/>
    <col min="8966" max="8987" width="5.625" customWidth="1"/>
    <col min="9217" max="9217" width="2.25" customWidth="1"/>
    <col min="9218" max="9220" width="5.625" customWidth="1"/>
    <col min="9221" max="9221" width="5.125" customWidth="1"/>
    <col min="9222" max="9243" width="5.625" customWidth="1"/>
    <col min="9473" max="9473" width="2.25" customWidth="1"/>
    <col min="9474" max="9476" width="5.625" customWidth="1"/>
    <col min="9477" max="9477" width="5.125" customWidth="1"/>
    <col min="9478" max="9499" width="5.625" customWidth="1"/>
    <col min="9729" max="9729" width="2.25" customWidth="1"/>
    <col min="9730" max="9732" width="5.625" customWidth="1"/>
    <col min="9733" max="9733" width="5.125" customWidth="1"/>
    <col min="9734" max="9755" width="5.625" customWidth="1"/>
    <col min="9985" max="9985" width="2.25" customWidth="1"/>
    <col min="9986" max="9988" width="5.625" customWidth="1"/>
    <col min="9989" max="9989" width="5.125" customWidth="1"/>
    <col min="9990" max="10011" width="5.625" customWidth="1"/>
    <col min="10241" max="10241" width="2.25" customWidth="1"/>
    <col min="10242" max="10244" width="5.625" customWidth="1"/>
    <col min="10245" max="10245" width="5.125" customWidth="1"/>
    <col min="10246" max="10267" width="5.625" customWidth="1"/>
    <col min="10497" max="10497" width="2.25" customWidth="1"/>
    <col min="10498" max="10500" width="5.625" customWidth="1"/>
    <col min="10501" max="10501" width="5.125" customWidth="1"/>
    <col min="10502" max="10523" width="5.625" customWidth="1"/>
    <col min="10753" max="10753" width="2.25" customWidth="1"/>
    <col min="10754" max="10756" width="5.625" customWidth="1"/>
    <col min="10757" max="10757" width="5.125" customWidth="1"/>
    <col min="10758" max="10779" width="5.625" customWidth="1"/>
    <col min="11009" max="11009" width="2.25" customWidth="1"/>
    <col min="11010" max="11012" width="5.625" customWidth="1"/>
    <col min="11013" max="11013" width="5.125" customWidth="1"/>
    <col min="11014" max="11035" width="5.625" customWidth="1"/>
    <col min="11265" max="11265" width="2.25" customWidth="1"/>
    <col min="11266" max="11268" width="5.625" customWidth="1"/>
    <col min="11269" max="11269" width="5.125" customWidth="1"/>
    <col min="11270" max="11291" width="5.625" customWidth="1"/>
    <col min="11521" max="11521" width="2.25" customWidth="1"/>
    <col min="11522" max="11524" width="5.625" customWidth="1"/>
    <col min="11525" max="11525" width="5.125" customWidth="1"/>
    <col min="11526" max="11547" width="5.625" customWidth="1"/>
    <col min="11777" max="11777" width="2.25" customWidth="1"/>
    <col min="11778" max="11780" width="5.625" customWidth="1"/>
    <col min="11781" max="11781" width="5.125" customWidth="1"/>
    <col min="11782" max="11803" width="5.625" customWidth="1"/>
    <col min="12033" max="12033" width="2.25" customWidth="1"/>
    <col min="12034" max="12036" width="5.625" customWidth="1"/>
    <col min="12037" max="12037" width="5.125" customWidth="1"/>
    <col min="12038" max="12059" width="5.625" customWidth="1"/>
    <col min="12289" max="12289" width="2.25" customWidth="1"/>
    <col min="12290" max="12292" width="5.625" customWidth="1"/>
    <col min="12293" max="12293" width="5.125" customWidth="1"/>
    <col min="12294" max="12315" width="5.625" customWidth="1"/>
    <col min="12545" max="12545" width="2.25" customWidth="1"/>
    <col min="12546" max="12548" width="5.625" customWidth="1"/>
    <col min="12549" max="12549" width="5.125" customWidth="1"/>
    <col min="12550" max="12571" width="5.625" customWidth="1"/>
    <col min="12801" max="12801" width="2.25" customWidth="1"/>
    <col min="12802" max="12804" width="5.625" customWidth="1"/>
    <col min="12805" max="12805" width="5.125" customWidth="1"/>
    <col min="12806" max="12827" width="5.625" customWidth="1"/>
    <col min="13057" max="13057" width="2.25" customWidth="1"/>
    <col min="13058" max="13060" width="5.625" customWidth="1"/>
    <col min="13061" max="13061" width="5.125" customWidth="1"/>
    <col min="13062" max="13083" width="5.625" customWidth="1"/>
    <col min="13313" max="13313" width="2.25" customWidth="1"/>
    <col min="13314" max="13316" width="5.625" customWidth="1"/>
    <col min="13317" max="13317" width="5.125" customWidth="1"/>
    <col min="13318" max="13339" width="5.625" customWidth="1"/>
    <col min="13569" max="13569" width="2.25" customWidth="1"/>
    <col min="13570" max="13572" width="5.625" customWidth="1"/>
    <col min="13573" max="13573" width="5.125" customWidth="1"/>
    <col min="13574" max="13595" width="5.625" customWidth="1"/>
    <col min="13825" max="13825" width="2.25" customWidth="1"/>
    <col min="13826" max="13828" width="5.625" customWidth="1"/>
    <col min="13829" max="13829" width="5.125" customWidth="1"/>
    <col min="13830" max="13851" width="5.625" customWidth="1"/>
    <col min="14081" max="14081" width="2.25" customWidth="1"/>
    <col min="14082" max="14084" width="5.625" customWidth="1"/>
    <col min="14085" max="14085" width="5.125" customWidth="1"/>
    <col min="14086" max="14107" width="5.625" customWidth="1"/>
    <col min="14337" max="14337" width="2.25" customWidth="1"/>
    <col min="14338" max="14340" width="5.625" customWidth="1"/>
    <col min="14341" max="14341" width="5.125" customWidth="1"/>
    <col min="14342" max="14363" width="5.625" customWidth="1"/>
    <col min="14593" max="14593" width="2.25" customWidth="1"/>
    <col min="14594" max="14596" width="5.625" customWidth="1"/>
    <col min="14597" max="14597" width="5.125" customWidth="1"/>
    <col min="14598" max="14619" width="5.625" customWidth="1"/>
    <col min="14849" max="14849" width="2.25" customWidth="1"/>
    <col min="14850" max="14852" width="5.625" customWidth="1"/>
    <col min="14853" max="14853" width="5.125" customWidth="1"/>
    <col min="14854" max="14875" width="5.625" customWidth="1"/>
    <col min="15105" max="15105" width="2.25" customWidth="1"/>
    <col min="15106" max="15108" width="5.625" customWidth="1"/>
    <col min="15109" max="15109" width="5.125" customWidth="1"/>
    <col min="15110" max="15131" width="5.625" customWidth="1"/>
    <col min="15361" max="15361" width="2.25" customWidth="1"/>
    <col min="15362" max="15364" width="5.625" customWidth="1"/>
    <col min="15365" max="15365" width="5.125" customWidth="1"/>
    <col min="15366" max="15387" width="5.625" customWidth="1"/>
    <col min="15617" max="15617" width="2.25" customWidth="1"/>
    <col min="15618" max="15620" width="5.625" customWidth="1"/>
    <col min="15621" max="15621" width="5.125" customWidth="1"/>
    <col min="15622" max="15643" width="5.625" customWidth="1"/>
    <col min="15873" max="15873" width="2.25" customWidth="1"/>
    <col min="15874" max="15876" width="5.625" customWidth="1"/>
    <col min="15877" max="15877" width="5.125" customWidth="1"/>
    <col min="15878" max="15899" width="5.625" customWidth="1"/>
    <col min="16129" max="16129" width="2.25" customWidth="1"/>
    <col min="16130" max="16132" width="5.625" customWidth="1"/>
    <col min="16133" max="16133" width="5.125" customWidth="1"/>
    <col min="16134" max="16155" width="5.625" customWidth="1"/>
  </cols>
  <sheetData>
    <row r="1" spans="1:24" s="175" customFormat="1" ht="14.1" customHeight="1">
      <c r="A1" s="190" t="s">
        <v>348</v>
      </c>
      <c r="B1" s="190"/>
      <c r="C1" s="190"/>
      <c r="D1" s="190"/>
      <c r="R1" s="176" t="s">
        <v>397</v>
      </c>
    </row>
    <row r="2" spans="1:24" s="175" customFormat="1" ht="14.1" customHeight="1">
      <c r="A2" s="190"/>
      <c r="B2" s="190"/>
      <c r="C2" s="190"/>
      <c r="D2" s="190"/>
    </row>
    <row r="3" spans="1:24" s="175" customFormat="1" ht="14.1" customHeight="1"/>
    <row r="4" spans="1:24" s="175" customFormat="1" ht="14.1" customHeight="1"/>
    <row r="5" spans="1:24" s="175" customFormat="1" ht="14.1" customHeight="1"/>
    <row r="6" spans="1:24" s="175" customFormat="1" ht="14.1" customHeight="1">
      <c r="K6" s="177"/>
      <c r="L6" s="177"/>
      <c r="M6" s="177" t="s">
        <v>349</v>
      </c>
      <c r="N6" s="177"/>
      <c r="O6" s="177"/>
      <c r="P6" s="177"/>
      <c r="R6" s="176"/>
    </row>
    <row r="7" spans="1:24" s="175" customFormat="1" ht="14.1" customHeight="1"/>
    <row r="8" spans="1:24" s="175" customFormat="1" ht="14.1" customHeight="1">
      <c r="J8" s="178"/>
      <c r="K8" s="178"/>
      <c r="L8" s="179"/>
      <c r="M8" s="179" t="s">
        <v>350</v>
      </c>
      <c r="N8" s="180"/>
      <c r="O8" s="180"/>
      <c r="P8" s="180"/>
      <c r="R8" s="176" t="s">
        <v>351</v>
      </c>
    </row>
    <row r="9" spans="1:24" s="175" customFormat="1" ht="14.1" customHeight="1">
      <c r="L9" s="178"/>
      <c r="M9" s="178" t="s">
        <v>352</v>
      </c>
      <c r="R9" s="176" t="s">
        <v>353</v>
      </c>
    </row>
    <row r="10" spans="1:24" s="175" customFormat="1" ht="14.1" customHeight="1">
      <c r="L10" s="178"/>
      <c r="M10" s="178" t="s">
        <v>354</v>
      </c>
    </row>
    <row r="11" spans="1:24" s="175" customFormat="1" ht="13.5" customHeight="1">
      <c r="K11" s="178"/>
    </row>
    <row r="12" spans="1:24" s="175" customFormat="1" ht="14.1" customHeight="1">
      <c r="A12" s="191" t="s">
        <v>355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2"/>
      <c r="R12" s="192"/>
    </row>
    <row r="13" spans="1:24" s="175" customFormat="1" ht="14.1" customHeight="1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2"/>
      <c r="R13" s="192"/>
      <c r="V13" s="181"/>
    </row>
    <row r="14" spans="1:24" s="175" customFormat="1" ht="14.1" customHeight="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183"/>
    </row>
    <row r="15" spans="1:24" s="184" customFormat="1" ht="14.1" customHeight="1">
      <c r="A15" s="193" t="s">
        <v>356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</row>
    <row r="16" spans="1:24" s="184" customFormat="1" ht="14.1" customHeight="1">
      <c r="A16" s="193" t="s">
        <v>357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X16" s="185"/>
    </row>
    <row r="17" spans="1:17" s="184" customFormat="1" ht="14.1" customHeight="1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s="175" customFormat="1" ht="13.5" customHeight="1"/>
    <row r="19" spans="1:17" s="175" customFormat="1" ht="14.1" customHeight="1">
      <c r="B19" s="187" t="s">
        <v>358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17" s="175" customFormat="1" ht="14.1" customHeight="1">
      <c r="B20" s="184"/>
      <c r="C20" s="184" t="s">
        <v>398</v>
      </c>
      <c r="D20" s="188"/>
      <c r="E20" s="189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1:17" s="175" customFormat="1" ht="14.1" customHeight="1">
      <c r="B21" s="184"/>
      <c r="C21" s="184" t="s">
        <v>359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</row>
    <row r="22" spans="1:17" s="175" customFormat="1" ht="14.1" customHeight="1">
      <c r="C22" s="178" t="s">
        <v>383</v>
      </c>
    </row>
    <row r="23" spans="1:17" s="175" customFormat="1" ht="14.1" customHeight="1">
      <c r="B23" s="184"/>
      <c r="C23" s="184" t="s">
        <v>360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</row>
    <row r="24" spans="1:17" s="175" customFormat="1" ht="14.1" customHeight="1">
      <c r="B24" s="184"/>
      <c r="C24" s="184" t="s">
        <v>361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</row>
    <row r="25" spans="1:17" s="175" customFormat="1" ht="14.1" customHeight="1">
      <c r="B25" s="184"/>
      <c r="C25" s="184" t="s">
        <v>399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</row>
    <row r="26" spans="1:17" s="175" customFormat="1" ht="14.1" customHeight="1">
      <c r="B26" s="184"/>
      <c r="C26" s="184" t="s">
        <v>362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</row>
    <row r="27" spans="1:17" s="175" customFormat="1" ht="14.1" customHeight="1">
      <c r="B27" s="187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</row>
    <row r="28" spans="1:17" s="175" customFormat="1" ht="14.1" customHeight="1"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</row>
    <row r="29" spans="1:17" s="175" customFormat="1" ht="14.1" customHeight="1">
      <c r="B29" s="187" t="s">
        <v>363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</row>
    <row r="30" spans="1:17" s="175" customFormat="1" ht="14.1" customHeight="1">
      <c r="B30" s="184"/>
      <c r="C30" s="184" t="s">
        <v>364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</row>
    <row r="31" spans="1:17" s="175" customFormat="1" ht="14.1" customHeigh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</row>
    <row r="32" spans="1:17" s="175" customFormat="1" ht="14.1" customHeight="1">
      <c r="B32" s="187" t="s">
        <v>365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</row>
    <row r="33" spans="2:17" s="175" customFormat="1" ht="14.1" customHeight="1">
      <c r="B33" s="184"/>
      <c r="C33" s="184" t="s">
        <v>401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</row>
    <row r="34" spans="2:17" s="175" customFormat="1" ht="14.1" customHeight="1">
      <c r="B34" s="184"/>
      <c r="C34" s="184" t="s">
        <v>366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</row>
    <row r="35" spans="2:17" s="175" customFormat="1" ht="14.1" customHeight="1"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</row>
    <row r="36" spans="2:17" s="175" customFormat="1" ht="14.1" customHeight="1">
      <c r="B36" s="187" t="s">
        <v>138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</row>
    <row r="37" spans="2:17" s="175" customFormat="1" ht="14.1" customHeight="1">
      <c r="B37" s="184"/>
      <c r="C37" s="184" t="s">
        <v>367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</row>
    <row r="38" spans="2:17" s="175" customFormat="1" ht="14.1" customHeight="1">
      <c r="B38" s="184"/>
      <c r="C38" s="184" t="s">
        <v>368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</row>
    <row r="39" spans="2:17" s="175" customFormat="1" ht="14.1" customHeight="1">
      <c r="B39" s="184"/>
      <c r="C39" s="184" t="s">
        <v>369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</row>
    <row r="40" spans="2:17" s="175" customFormat="1" ht="14.1" customHeight="1">
      <c r="B40" s="184"/>
      <c r="C40" s="184" t="s">
        <v>370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</row>
    <row r="41" spans="2:17" s="175" customFormat="1" ht="14.1" customHeight="1">
      <c r="B41" s="184"/>
      <c r="C41" s="184" t="s">
        <v>371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</row>
    <row r="42" spans="2:17" s="175" customFormat="1" ht="14.1" customHeight="1">
      <c r="B42" s="184"/>
      <c r="C42" s="184" t="s">
        <v>400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</row>
    <row r="43" spans="2:17" s="175" customFormat="1" ht="14.1" customHeight="1">
      <c r="B43" s="184"/>
      <c r="C43" s="184" t="s">
        <v>372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</row>
    <row r="44" spans="2:17" s="175" customFormat="1" ht="14.1" customHeight="1">
      <c r="B44" s="184"/>
      <c r="C44" s="184" t="s">
        <v>373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</row>
    <row r="45" spans="2:17" s="175" customFormat="1" ht="14.1" customHeight="1">
      <c r="B45" s="184"/>
      <c r="C45" s="184" t="s">
        <v>374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</row>
    <row r="46" spans="2:17" s="175" customFormat="1" ht="14.1" customHeight="1">
      <c r="B46" s="184"/>
      <c r="C46" s="184" t="s">
        <v>375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</row>
    <row r="47" spans="2:17" s="175" customFormat="1" ht="14.1" customHeight="1">
      <c r="B47" s="184"/>
      <c r="C47" s="184" t="s">
        <v>376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</row>
    <row r="48" spans="2:17" s="175" customFormat="1" ht="14.1" customHeight="1">
      <c r="B48" s="184"/>
      <c r="C48" s="184" t="s">
        <v>377</v>
      </c>
      <c r="D48" s="184"/>
      <c r="E48" s="184"/>
      <c r="F48" s="184"/>
      <c r="G48" s="184" t="s">
        <v>396</v>
      </c>
      <c r="H48" s="184"/>
      <c r="I48" s="184"/>
      <c r="L48" s="184"/>
      <c r="M48" s="184"/>
      <c r="N48" s="184"/>
      <c r="P48" s="184"/>
      <c r="Q48" s="184"/>
    </row>
    <row r="49" spans="2:17" s="175" customFormat="1" ht="14.1" customHeight="1">
      <c r="B49" s="184"/>
      <c r="C49" s="184" t="s">
        <v>378</v>
      </c>
      <c r="D49" s="184"/>
      <c r="E49" s="184"/>
      <c r="F49" s="184"/>
      <c r="G49" s="184" t="s">
        <v>379</v>
      </c>
      <c r="H49" s="184"/>
      <c r="I49" s="184"/>
      <c r="J49" s="184"/>
      <c r="K49" s="184" t="s">
        <v>380</v>
      </c>
      <c r="L49" s="184"/>
      <c r="M49" s="184"/>
      <c r="N49" s="184"/>
      <c r="O49" s="184"/>
      <c r="P49" s="184"/>
      <c r="Q49" s="184"/>
    </row>
    <row r="50" spans="2:17" s="175" customFormat="1" ht="14.1" customHeight="1">
      <c r="B50" s="184"/>
      <c r="C50" s="184" t="s">
        <v>381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</row>
    <row r="51" spans="2:17" s="175" customFormat="1" ht="14.1" customHeight="1"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</row>
    <row r="52" spans="2:17" s="175" customFormat="1" ht="14.1" customHeight="1"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</row>
    <row r="53" spans="2:17" s="175" customFormat="1" ht="14.1" customHeight="1">
      <c r="B53" s="184"/>
      <c r="C53" s="184" t="s">
        <v>382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</row>
    <row r="54" spans="2:17" s="175" customFormat="1" ht="14.1" customHeight="1"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</row>
    <row r="55" spans="2:17" s="175" customFormat="1" ht="14.1" customHeight="1"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</row>
    <row r="56" spans="2:17" s="175" customFormat="1" ht="14.1" customHeight="1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</row>
    <row r="57" spans="2:17" s="175" customFormat="1" ht="14.1" customHeight="1"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</row>
    <row r="58" spans="2:17" s="175" customFormat="1" ht="14.1" customHeight="1"/>
    <row r="59" spans="2:17" s="175" customFormat="1" ht="14.1" customHeight="1"/>
    <row r="60" spans="2:17" s="175" customFormat="1" ht="14.1" customHeight="1"/>
    <row r="61" spans="2:17" s="175" customFormat="1" ht="14.1" customHeight="1"/>
    <row r="62" spans="2:17" s="175" customFormat="1" ht="14.1" customHeight="1"/>
    <row r="63" spans="2:17" s="175" customFormat="1" ht="12.95" customHeight="1"/>
    <row r="64" spans="2:17" s="175" customFormat="1" ht="27" customHeight="1"/>
    <row r="65" spans="1:18" s="178" customFormat="1" ht="27" customHeight="1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</row>
    <row r="66" spans="1:18" s="178" customFormat="1" ht="27" customHeight="1">
      <c r="A66" s="175"/>
    </row>
    <row r="67" spans="1:18" s="178" customFormat="1" ht="27" customHeight="1">
      <c r="A67" s="175"/>
    </row>
    <row r="68" spans="1:18" s="178" customFormat="1" ht="27" customHeight="1"/>
    <row r="69" spans="1:18" s="178" customFormat="1" ht="27" customHeight="1"/>
    <row r="70" spans="1:18" s="178" customFormat="1" ht="27" customHeight="1"/>
    <row r="71" spans="1:18" s="178" customFormat="1" ht="27" customHeight="1"/>
    <row r="72" spans="1:18" s="178" customFormat="1" ht="27" customHeight="1"/>
    <row r="73" spans="1:18" s="178" customFormat="1" ht="27" customHeight="1"/>
    <row r="74" spans="1:18" s="178" customFormat="1" ht="27" customHeight="1"/>
    <row r="75" spans="1:18" s="178" customFormat="1" ht="27" customHeight="1"/>
    <row r="76" spans="1:18" s="178" customFormat="1" ht="27" customHeight="1"/>
    <row r="77" spans="1:18" s="178" customFormat="1" ht="27" customHeight="1"/>
    <row r="78" spans="1:18" s="178" customFormat="1" ht="27" customHeight="1"/>
    <row r="79" spans="1:18" s="178" customFormat="1" ht="27" customHeight="1"/>
    <row r="80" spans="1:18" s="178" customFormat="1" ht="27" customHeight="1"/>
    <row r="81" s="178" customFormat="1" ht="27" customHeight="1"/>
    <row r="82" s="178" customFormat="1" ht="27" customHeight="1"/>
    <row r="83" s="178" customFormat="1" ht="27" customHeight="1"/>
    <row r="84" s="178" customFormat="1" ht="27" customHeight="1"/>
    <row r="85" s="178" customFormat="1" ht="27" customHeight="1"/>
    <row r="86" s="178" customFormat="1" ht="27" customHeight="1"/>
    <row r="87" s="178" customFormat="1" ht="27" customHeight="1"/>
    <row r="88" s="178" customFormat="1" ht="27" customHeight="1"/>
    <row r="89" s="178" customFormat="1" ht="27" customHeight="1"/>
    <row r="90" s="178" customFormat="1" ht="27" customHeight="1"/>
    <row r="91" s="178" customFormat="1" ht="27" customHeight="1"/>
    <row r="92" s="178" customFormat="1" ht="27" customHeight="1"/>
    <row r="93" s="178" customFormat="1" ht="27" customHeight="1"/>
    <row r="94" s="178" customFormat="1" ht="27" customHeight="1"/>
    <row r="95" s="178" customFormat="1" ht="27" customHeight="1"/>
    <row r="96" s="178" customFormat="1" ht="27" customHeight="1"/>
    <row r="97" s="178" customFormat="1" ht="27" customHeight="1"/>
    <row r="98" s="178" customFormat="1" ht="27" customHeight="1"/>
    <row r="99" s="178" customFormat="1" ht="27" customHeight="1"/>
    <row r="100" s="178" customFormat="1" ht="27" customHeight="1"/>
    <row r="101" s="178" customFormat="1" ht="27" customHeight="1"/>
    <row r="102" s="178" customFormat="1" ht="27" customHeight="1"/>
    <row r="103" s="178" customFormat="1" ht="27" customHeight="1"/>
    <row r="104" s="178" customFormat="1" ht="27" customHeight="1"/>
    <row r="105" s="178" customFormat="1" ht="27" customHeight="1"/>
    <row r="106" s="178" customFormat="1" ht="27" customHeight="1"/>
    <row r="107" s="178" customFormat="1" ht="27" customHeight="1"/>
    <row r="108" s="178" customFormat="1" ht="27" customHeight="1"/>
    <row r="109" s="178" customFormat="1" ht="27" customHeight="1"/>
    <row r="110" s="178" customFormat="1" ht="27" customHeight="1"/>
    <row r="111" s="178" customFormat="1" ht="27" customHeight="1"/>
    <row r="112" s="178" customFormat="1" ht="27" customHeight="1"/>
    <row r="113" s="178" customFormat="1" ht="27" customHeight="1"/>
    <row r="114" s="178" customFormat="1" ht="27" customHeight="1"/>
    <row r="115" s="178" customFormat="1" ht="27" customHeight="1"/>
    <row r="116" s="178" customFormat="1" ht="27" customHeight="1"/>
    <row r="117" s="178" customFormat="1" ht="27" customHeight="1"/>
    <row r="118" s="178" customFormat="1" ht="27" customHeight="1"/>
    <row r="119" s="178" customFormat="1" ht="27" customHeight="1"/>
    <row r="120" s="178" customFormat="1" ht="27" customHeight="1"/>
    <row r="121" s="178" customFormat="1" ht="27" customHeight="1"/>
    <row r="122" s="178" customFormat="1" ht="27" customHeight="1"/>
    <row r="123" s="178" customFormat="1" ht="27" customHeight="1"/>
    <row r="124" s="178" customFormat="1" ht="27" customHeight="1"/>
    <row r="125" s="178" customFormat="1" ht="27" customHeight="1"/>
    <row r="126" s="178" customFormat="1" ht="27" customHeight="1"/>
    <row r="127" s="178" customFormat="1" ht="27" customHeight="1"/>
    <row r="128" s="178" customFormat="1" ht="27" customHeight="1"/>
    <row r="129" s="178" customFormat="1" ht="27" customHeight="1"/>
    <row r="130" s="178" customFormat="1" ht="27" customHeight="1"/>
    <row r="131" s="178" customFormat="1" ht="27" customHeight="1"/>
    <row r="132" s="178" customFormat="1" ht="27" customHeight="1"/>
    <row r="133" s="178" customFormat="1" ht="27" customHeight="1"/>
    <row r="134" s="178" customFormat="1" ht="27" customHeight="1"/>
    <row r="135" s="178" customFormat="1" ht="27" customHeight="1"/>
    <row r="136" s="178" customFormat="1" ht="27" customHeight="1"/>
    <row r="137" s="178" customFormat="1" ht="27" customHeight="1"/>
    <row r="138" s="178" customFormat="1" ht="27" customHeight="1"/>
    <row r="139" s="178" customFormat="1" ht="27" customHeight="1"/>
    <row r="140" s="178" customFormat="1" ht="27" customHeight="1"/>
    <row r="141" s="178" customFormat="1" ht="27" customHeight="1"/>
    <row r="142" s="178" customFormat="1" ht="27" customHeight="1"/>
    <row r="143" s="178" customFormat="1" ht="27" customHeight="1"/>
    <row r="144" s="178" customFormat="1" ht="27" customHeight="1"/>
    <row r="145" s="178" customFormat="1" ht="27" customHeight="1"/>
    <row r="146" s="178" customFormat="1" ht="27" customHeight="1"/>
    <row r="147" s="178" customFormat="1" ht="27" customHeight="1"/>
    <row r="148" s="178" customFormat="1" ht="27" customHeight="1"/>
    <row r="149" s="178" customFormat="1" ht="27" customHeight="1"/>
    <row r="150" s="178" customFormat="1" ht="27" customHeight="1"/>
    <row r="151" s="178" customFormat="1" ht="27" customHeight="1"/>
    <row r="152" s="178" customFormat="1" ht="27" customHeight="1"/>
    <row r="153" s="178" customFormat="1" ht="27" customHeight="1"/>
    <row r="154" s="178" customFormat="1" ht="27" customHeight="1"/>
    <row r="155" s="178" customFormat="1" ht="27" customHeight="1"/>
    <row r="156" s="178" customFormat="1" ht="27" customHeight="1"/>
    <row r="157" s="178" customFormat="1" ht="27" customHeight="1"/>
    <row r="158" s="178" customFormat="1" ht="27" customHeight="1"/>
    <row r="159" s="178" customFormat="1" ht="27" customHeight="1"/>
    <row r="160" s="178" customFormat="1" ht="27" customHeight="1"/>
    <row r="161" s="178" customFormat="1" ht="27" customHeight="1"/>
    <row r="162" s="178" customFormat="1" ht="27" customHeight="1"/>
    <row r="163" s="178" customFormat="1" ht="27" customHeight="1"/>
    <row r="164" s="178" customFormat="1" ht="27" customHeight="1"/>
    <row r="165" s="178" customFormat="1" ht="27" customHeight="1"/>
    <row r="166" s="178" customFormat="1" ht="27" customHeight="1"/>
    <row r="167" s="178" customFormat="1" ht="27" customHeight="1"/>
    <row r="168" s="178" customFormat="1" ht="27" customHeight="1"/>
    <row r="169" s="178" customFormat="1" ht="27" customHeight="1"/>
    <row r="170" s="178" customFormat="1" ht="27" customHeight="1"/>
    <row r="171" s="178" customFormat="1" ht="27" customHeight="1"/>
    <row r="172" s="178" customFormat="1" ht="27" customHeight="1"/>
    <row r="173" s="178" customFormat="1" ht="27" customHeight="1"/>
    <row r="174" s="178" customFormat="1" ht="27" customHeight="1"/>
    <row r="175" s="178" customFormat="1" ht="27" customHeight="1"/>
    <row r="176" s="178" customFormat="1" ht="27" customHeight="1"/>
    <row r="177" s="178" customFormat="1" ht="27" customHeight="1"/>
    <row r="178" s="178" customFormat="1" ht="27" customHeight="1"/>
    <row r="179" s="178" customFormat="1" ht="27" customHeight="1"/>
    <row r="180" s="178" customFormat="1" ht="27" customHeight="1"/>
    <row r="181" s="178" customFormat="1" ht="27" customHeight="1"/>
    <row r="182" s="178" customFormat="1" ht="27" customHeight="1"/>
    <row r="183" s="178" customFormat="1" ht="27" customHeight="1"/>
    <row r="184" s="178" customFormat="1" ht="27" customHeight="1"/>
    <row r="185" s="178" customFormat="1" ht="27" customHeight="1"/>
    <row r="186" s="178" customFormat="1" ht="27" customHeight="1"/>
    <row r="187" s="178" customFormat="1" ht="27" customHeight="1"/>
    <row r="188" s="178" customFormat="1" ht="27" customHeight="1"/>
    <row r="189" s="178" customFormat="1" ht="27" customHeight="1"/>
    <row r="190" s="178" customFormat="1" ht="27" customHeight="1"/>
    <row r="191" s="178" customFormat="1" ht="27" customHeight="1"/>
    <row r="192" s="178" customFormat="1" ht="27" customHeight="1"/>
    <row r="193" s="178" customFormat="1" ht="27" customHeight="1"/>
    <row r="194" s="178" customFormat="1" ht="27" customHeight="1"/>
    <row r="195" s="178" customFormat="1" ht="27" customHeight="1"/>
    <row r="196" s="178" customFormat="1" ht="27" customHeight="1"/>
    <row r="197" s="178" customFormat="1" ht="27" customHeight="1"/>
    <row r="198" s="178" customFormat="1" ht="27" customHeight="1"/>
    <row r="199" s="178" customFormat="1" ht="27" customHeight="1"/>
    <row r="200" s="178" customFormat="1" ht="27" customHeight="1"/>
    <row r="201" s="178" customFormat="1" ht="27" customHeight="1"/>
    <row r="202" s="178" customFormat="1" ht="27" customHeight="1"/>
    <row r="203" s="178" customFormat="1" ht="27" customHeight="1"/>
    <row r="204" s="178" customFormat="1" ht="27" customHeight="1"/>
    <row r="205" s="178" customFormat="1" ht="27" customHeight="1"/>
    <row r="206" s="178" customFormat="1" ht="27" customHeight="1"/>
    <row r="207" s="178" customFormat="1" ht="27" customHeight="1"/>
    <row r="208" s="178" customFormat="1" ht="27" customHeight="1"/>
    <row r="209" s="178" customFormat="1" ht="27" customHeight="1"/>
    <row r="210" s="178" customFormat="1" ht="27" customHeight="1"/>
    <row r="211" s="178" customFormat="1" ht="27" customHeight="1"/>
    <row r="212" s="178" customFormat="1" ht="27" customHeight="1"/>
    <row r="213" s="178" customFormat="1" ht="27" customHeight="1"/>
    <row r="214" s="178" customFormat="1" ht="27" customHeight="1"/>
    <row r="215" s="178" customFormat="1" ht="27" customHeight="1"/>
    <row r="216" s="178" customFormat="1" ht="27" customHeight="1"/>
    <row r="217" s="178" customFormat="1" ht="27" customHeight="1"/>
    <row r="218" s="178" customFormat="1" ht="27" customHeight="1"/>
    <row r="219" s="178" customFormat="1" ht="27" customHeight="1"/>
    <row r="220" s="178" customFormat="1" ht="27" customHeight="1"/>
    <row r="221" s="178" customFormat="1" ht="27" customHeight="1"/>
    <row r="222" s="178" customFormat="1" ht="27" customHeight="1"/>
    <row r="223" s="178" customFormat="1" ht="27" customHeight="1"/>
    <row r="224" s="178" customFormat="1" ht="27" customHeight="1"/>
    <row r="225" s="178" customFormat="1" ht="27" customHeight="1"/>
    <row r="226" s="178" customFormat="1" ht="27" customHeight="1"/>
    <row r="227" s="178" customFormat="1" ht="27" customHeight="1"/>
    <row r="228" s="178" customFormat="1" ht="27" customHeight="1"/>
    <row r="229" s="178" customFormat="1" ht="27" customHeight="1"/>
    <row r="230" s="178" customFormat="1" ht="27" customHeight="1"/>
    <row r="231" s="178" customFormat="1" ht="27" customHeight="1"/>
    <row r="232" s="178" customFormat="1" ht="27" customHeight="1"/>
    <row r="233" s="178" customFormat="1" ht="27" customHeight="1"/>
    <row r="234" s="178" customFormat="1" ht="27" customHeight="1"/>
    <row r="235" s="178" customFormat="1" ht="27" customHeight="1"/>
    <row r="236" s="178" customFormat="1" ht="27" customHeight="1"/>
    <row r="237" s="178" customFormat="1" ht="27" customHeight="1"/>
    <row r="238" s="178" customFormat="1" ht="27" customHeight="1"/>
    <row r="239" s="178" customFormat="1" ht="27" customHeight="1"/>
    <row r="240" s="178" customFormat="1" ht="27" customHeight="1"/>
    <row r="241" s="178" customFormat="1" ht="27" customHeight="1"/>
    <row r="242" s="178" customFormat="1" ht="27" customHeight="1"/>
    <row r="243" s="178" customFormat="1" ht="27" customHeight="1"/>
    <row r="244" s="178" customFormat="1" ht="27" customHeight="1"/>
    <row r="245" s="178" customFormat="1" ht="27" customHeight="1"/>
    <row r="246" s="178" customFormat="1" ht="27" customHeight="1"/>
    <row r="247" s="178" customFormat="1" ht="27" customHeight="1"/>
    <row r="248" s="178" customFormat="1" ht="27" customHeight="1"/>
    <row r="249" s="178" customFormat="1" ht="27" customHeight="1"/>
    <row r="250" s="178" customFormat="1" ht="27" customHeight="1"/>
    <row r="251" s="178" customFormat="1" ht="27" customHeight="1"/>
    <row r="252" s="178" customFormat="1" ht="27" customHeight="1"/>
    <row r="253" s="178" customFormat="1" ht="27" customHeight="1"/>
    <row r="254" s="178" customFormat="1" ht="27" customHeight="1"/>
    <row r="255" s="178" customFormat="1" ht="27" customHeight="1"/>
    <row r="256" s="178" customFormat="1" ht="27" customHeight="1"/>
    <row r="257" s="178" customFormat="1" ht="27" customHeight="1"/>
    <row r="258" s="178" customFormat="1" ht="27" customHeight="1"/>
    <row r="259" s="178" customFormat="1" ht="27" customHeight="1"/>
    <row r="260" s="178" customFormat="1" ht="27" customHeight="1"/>
    <row r="261" s="178" customFormat="1" ht="27" customHeight="1"/>
    <row r="262" s="178" customFormat="1" ht="27" customHeight="1"/>
    <row r="263" s="178" customFormat="1" ht="27" customHeight="1"/>
    <row r="264" s="178" customFormat="1" ht="27" customHeight="1"/>
    <row r="265" s="178" customFormat="1" ht="27" customHeight="1"/>
    <row r="266" s="178" customFormat="1" ht="27" customHeight="1"/>
    <row r="267" s="178" customFormat="1" ht="27" customHeight="1"/>
    <row r="268" s="178" customFormat="1" ht="27" customHeight="1"/>
    <row r="269" s="178" customFormat="1" ht="27" customHeight="1"/>
    <row r="270" s="178" customFormat="1" ht="27" customHeight="1"/>
    <row r="271" s="178" customFormat="1" ht="27" customHeight="1"/>
    <row r="272" s="178" customFormat="1" ht="27" customHeight="1"/>
    <row r="273" s="178" customFormat="1" ht="27" customHeight="1"/>
    <row r="274" s="178" customFormat="1" ht="27" customHeight="1"/>
    <row r="275" s="178" customFormat="1" ht="27" customHeight="1"/>
    <row r="276" s="178" customFormat="1" ht="27" customHeight="1"/>
    <row r="277" s="178" customFormat="1" ht="27" customHeight="1"/>
    <row r="278" s="178" customFormat="1" ht="27" customHeight="1"/>
    <row r="279" s="178" customFormat="1" ht="27" customHeight="1"/>
    <row r="280" s="178" customFormat="1" ht="27" customHeight="1"/>
    <row r="281" s="178" customFormat="1" ht="27" customHeight="1"/>
    <row r="282" s="178" customFormat="1" ht="27" customHeight="1"/>
    <row r="283" s="178" customFormat="1" ht="27" customHeight="1"/>
    <row r="284" s="178" customFormat="1" ht="27" customHeight="1"/>
    <row r="285" s="178" customFormat="1" ht="27" customHeight="1"/>
    <row r="286" s="178" customFormat="1" ht="27" customHeight="1"/>
    <row r="287" s="178" customFormat="1" ht="27" customHeight="1"/>
    <row r="288" s="178" customFormat="1" ht="27" customHeight="1"/>
    <row r="289" spans="1:1" s="178" customFormat="1" ht="27" customHeight="1"/>
    <row r="290" spans="1:1" s="178" customFormat="1" ht="27" customHeight="1"/>
    <row r="291" spans="1:1" s="178" customFormat="1" ht="27" customHeight="1"/>
    <row r="292" spans="1:1" s="178" customFormat="1" ht="27" customHeight="1"/>
    <row r="293" spans="1:1" s="178" customFormat="1" ht="27" customHeight="1"/>
    <row r="294" spans="1:1" s="178" customFormat="1" ht="27" customHeight="1"/>
    <row r="295" spans="1:1" s="178" customFormat="1" ht="27" customHeight="1"/>
    <row r="296" spans="1:1" s="178" customFormat="1" ht="27" customHeight="1"/>
    <row r="297" spans="1:1" s="178" customFormat="1" ht="27" customHeight="1"/>
    <row r="298" spans="1:1" s="178" customFormat="1" ht="27" customHeight="1"/>
    <row r="299" spans="1:1" s="178" customFormat="1" ht="27" customHeight="1"/>
    <row r="300" spans="1:1" s="178" customFormat="1" ht="27" customHeight="1"/>
    <row r="301" spans="1:1" s="178" customFormat="1" ht="27" customHeight="1"/>
    <row r="302" spans="1:1" s="178" customFormat="1" ht="27" customHeight="1"/>
    <row r="303" spans="1:1" s="178" customFormat="1" ht="27" customHeight="1"/>
    <row r="304" spans="1:1">
      <c r="A304" s="178"/>
    </row>
    <row r="305" spans="1:1">
      <c r="A305" s="178"/>
    </row>
    <row r="306" spans="1:1">
      <c r="A306" s="178"/>
    </row>
  </sheetData>
  <sheetProtection algorithmName="SHA-512" hashValue="ZkXsS0/QSqQTPxvbXd6ss6toreTQoOqa8b3DkhgfDDxjwc4/E6Q9Hy0mbRtG207/tpC2YrxWlzwR0QxsP6SRhQ==" saltValue="sXMEwvbhrYAzK0Sq48XlTQ==" spinCount="100000" sheet="1" objects="1" scenarios="1"/>
  <mergeCells count="4">
    <mergeCell ref="A1:D2"/>
    <mergeCell ref="A12:R13"/>
    <mergeCell ref="A15:P15"/>
    <mergeCell ref="A16:P16"/>
  </mergeCells>
  <phoneticPr fontId="4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71"/>
  <sheetViews>
    <sheetView showGridLines="0" view="pageBreakPreview" topLeftCell="H2" zoomScaleNormal="100" zoomScaleSheetLayoutView="100" workbookViewId="0">
      <selection activeCell="V2" sqref="V2:AC3"/>
    </sheetView>
  </sheetViews>
  <sheetFormatPr defaultRowHeight="13.5"/>
  <cols>
    <col min="1" max="1" width="2.625" style="3" customWidth="1"/>
    <col min="2" max="3" width="2.625" style="2" customWidth="1"/>
    <col min="4" max="4" width="3.375" style="2" customWidth="1"/>
    <col min="5" max="5" width="1.75" style="2" hidden="1" customWidth="1"/>
    <col min="6" max="7" width="2.625" style="2" customWidth="1"/>
    <col min="8" max="8" width="2.5" style="2" customWidth="1"/>
    <col min="9" max="9" width="2.875" style="2" customWidth="1"/>
    <col min="10" max="10" width="2.625" style="2" customWidth="1"/>
    <col min="11" max="11" width="4.125" style="2" customWidth="1"/>
    <col min="12" max="12" width="2.625" style="2" customWidth="1"/>
    <col min="13" max="13" width="1.125" style="2" customWidth="1"/>
    <col min="14" max="14" width="2.625" style="3" customWidth="1"/>
    <col min="15" max="15" width="2.625" style="2" customWidth="1"/>
    <col min="16" max="16" width="3.625" style="2" customWidth="1"/>
    <col min="17" max="18" width="2.625" style="2" customWidth="1"/>
    <col min="19" max="19" width="2.625" style="3" customWidth="1"/>
    <col min="20" max="21" width="2.625" style="2" customWidth="1"/>
    <col min="22" max="22" width="3.375" style="2" customWidth="1"/>
    <col min="23" max="23" width="2.625" style="2" customWidth="1"/>
    <col min="24" max="24" width="4.125" style="2" customWidth="1"/>
    <col min="25" max="25" width="2.625" style="2" customWidth="1"/>
    <col min="26" max="26" width="1.125" style="2" customWidth="1"/>
    <col min="27" max="27" width="2.625" style="3" customWidth="1"/>
    <col min="28" max="28" width="2.625" style="2" customWidth="1"/>
    <col min="29" max="29" width="3.625" style="2" customWidth="1"/>
    <col min="30" max="30" width="4" style="2" customWidth="1"/>
    <col min="31" max="31" width="2.625" style="2" hidden="1" customWidth="1"/>
    <col min="32" max="32" width="2.625" style="3" customWidth="1"/>
    <col min="33" max="33" width="2.625" style="2" customWidth="1"/>
    <col min="34" max="34" width="2.5" style="2" customWidth="1"/>
    <col min="35" max="35" width="2.625" style="2" hidden="1" customWidth="1"/>
    <col min="36" max="36" width="2.625" style="2" customWidth="1"/>
    <col min="37" max="37" width="4.125" style="2" customWidth="1"/>
    <col min="38" max="38" width="2.625" style="2" customWidth="1"/>
    <col min="39" max="39" width="1.125" style="2" customWidth="1"/>
    <col min="40" max="40" width="2.625" style="3" customWidth="1"/>
    <col min="41" max="43" width="2.625" style="2" customWidth="1"/>
    <col min="44" max="44" width="2.875" style="2" customWidth="1"/>
    <col min="45" max="45" width="3.25" style="3" customWidth="1"/>
    <col min="46" max="49" width="2.625" style="2" customWidth="1"/>
    <col min="50" max="50" width="4.5" style="2" customWidth="1"/>
    <col min="51" max="51" width="2.625" style="2" customWidth="1"/>
    <col min="52" max="52" width="1.125" style="2" customWidth="1"/>
    <col min="53" max="56" width="2.625" style="2" customWidth="1"/>
    <col min="57" max="57" width="1.375" style="2" customWidth="1"/>
    <col min="58" max="58" width="2.625" style="3" customWidth="1"/>
    <col min="59" max="60" width="2.625" style="2" customWidth="1"/>
    <col min="61" max="61" width="1.375" style="2" customWidth="1"/>
    <col min="62" max="62" width="2.625" style="2" customWidth="1"/>
    <col min="63" max="63" width="4.125" style="2" customWidth="1"/>
    <col min="64" max="64" width="2.625" style="2" customWidth="1"/>
    <col min="65" max="65" width="1.125" style="2" customWidth="1"/>
    <col min="66" max="66" width="2.625" style="2" customWidth="1"/>
    <col min="70" max="70" width="20" customWidth="1"/>
  </cols>
  <sheetData>
    <row r="1" spans="1:69" ht="19.5" thickBot="1">
      <c r="A1" s="1" t="s">
        <v>136</v>
      </c>
      <c r="S1" s="227" t="s">
        <v>0</v>
      </c>
      <c r="T1" s="227"/>
      <c r="U1" s="227"/>
      <c r="V1" s="228"/>
      <c r="W1" s="228"/>
      <c r="X1" s="228"/>
      <c r="Y1" s="228"/>
      <c r="Z1" s="228"/>
      <c r="AA1" s="228"/>
      <c r="AB1" s="228"/>
      <c r="AC1" s="228"/>
      <c r="AD1" s="228"/>
      <c r="AF1" s="227"/>
      <c r="AG1" s="227"/>
      <c r="AH1" s="227"/>
      <c r="BA1" s="240"/>
      <c r="BB1" s="240"/>
      <c r="BC1" s="240"/>
      <c r="BD1" s="4" t="s">
        <v>1</v>
      </c>
      <c r="BE1" s="4"/>
      <c r="BF1" s="34"/>
      <c r="BG1" s="4" t="s">
        <v>2</v>
      </c>
      <c r="BH1" s="240"/>
      <c r="BI1" s="240"/>
      <c r="BJ1" s="4" t="s">
        <v>177</v>
      </c>
      <c r="BK1" s="23"/>
      <c r="BL1" s="4"/>
      <c r="BO1" s="2"/>
      <c r="BP1" s="2"/>
    </row>
    <row r="2" spans="1:69" ht="13.5" customHeight="1">
      <c r="A2" s="280" t="s">
        <v>137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1"/>
      <c r="S2" s="231" t="s">
        <v>3</v>
      </c>
      <c r="T2" s="232"/>
      <c r="U2" s="232"/>
      <c r="V2" s="229"/>
      <c r="W2" s="229"/>
      <c r="X2" s="229"/>
      <c r="Y2" s="229"/>
      <c r="Z2" s="229"/>
      <c r="AA2" s="229"/>
      <c r="AB2" s="229"/>
      <c r="AC2" s="229"/>
      <c r="AD2" s="28"/>
      <c r="AE2" s="5"/>
      <c r="AF2" s="233" t="s">
        <v>4</v>
      </c>
      <c r="AG2" s="234"/>
      <c r="AH2" s="234"/>
      <c r="AI2" s="6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32"/>
      <c r="AV2" s="33"/>
      <c r="AW2" s="284" t="s">
        <v>5</v>
      </c>
      <c r="AX2" s="285"/>
      <c r="AY2" s="285"/>
      <c r="AZ2" s="35"/>
      <c r="BA2" s="30"/>
      <c r="BB2" s="30"/>
      <c r="BC2" s="30"/>
      <c r="BD2" s="30"/>
      <c r="BE2" s="30"/>
      <c r="BF2" s="36"/>
      <c r="BG2" s="30"/>
      <c r="BH2" s="30" t="s">
        <v>6</v>
      </c>
      <c r="BI2" s="30"/>
      <c r="BJ2" s="30"/>
      <c r="BK2" s="30" t="s">
        <v>7</v>
      </c>
      <c r="BL2" s="30"/>
      <c r="BM2" s="7"/>
      <c r="BO2" s="2"/>
      <c r="BP2" s="2"/>
    </row>
    <row r="3" spans="1:69" ht="14.25" thickBo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3"/>
      <c r="S3" s="8"/>
      <c r="T3" s="9"/>
      <c r="U3" s="9"/>
      <c r="V3" s="230"/>
      <c r="W3" s="230"/>
      <c r="X3" s="230"/>
      <c r="Y3" s="230"/>
      <c r="Z3" s="230"/>
      <c r="AA3" s="230"/>
      <c r="AB3" s="230"/>
      <c r="AC3" s="230"/>
      <c r="AD3" s="27"/>
      <c r="AE3" s="10"/>
      <c r="AF3" s="236" t="s">
        <v>8</v>
      </c>
      <c r="AG3" s="227"/>
      <c r="AH3" s="228"/>
      <c r="AI3" s="228"/>
      <c r="AJ3" s="228"/>
      <c r="AK3" s="228"/>
      <c r="AL3" s="228"/>
      <c r="AM3" s="228"/>
      <c r="AN3" s="228"/>
      <c r="AO3" s="29"/>
      <c r="AP3" s="237" t="s">
        <v>9</v>
      </c>
      <c r="AQ3" s="237"/>
      <c r="AR3" s="11" t="s">
        <v>10</v>
      </c>
      <c r="AS3" s="279"/>
      <c r="AT3" s="279"/>
      <c r="AU3" s="279"/>
      <c r="AV3" s="12" t="s">
        <v>11</v>
      </c>
      <c r="AW3" s="13"/>
      <c r="AX3" s="37"/>
      <c r="AY3" s="14"/>
      <c r="AZ3" s="15" t="s">
        <v>1</v>
      </c>
      <c r="BA3" s="38"/>
      <c r="BB3" s="15" t="s">
        <v>2</v>
      </c>
      <c r="BC3" s="38"/>
      <c r="BD3" s="15" t="s">
        <v>12</v>
      </c>
      <c r="BE3" s="38"/>
      <c r="BF3" s="16" t="s">
        <v>11</v>
      </c>
      <c r="BG3" s="288" t="s">
        <v>13</v>
      </c>
      <c r="BH3" s="288"/>
      <c r="BI3" s="37"/>
      <c r="BJ3" s="37"/>
      <c r="BK3" s="37"/>
      <c r="BL3" s="31" t="s">
        <v>14</v>
      </c>
      <c r="BM3" s="17"/>
      <c r="BO3" s="2"/>
      <c r="BP3" s="18"/>
      <c r="BQ3" s="19"/>
    </row>
    <row r="4" spans="1:69" ht="20.100000000000001" customHeight="1" thickBot="1">
      <c r="A4" s="248" t="s">
        <v>15</v>
      </c>
      <c r="B4" s="249"/>
      <c r="C4" s="249"/>
      <c r="D4" s="249"/>
      <c r="E4" s="249"/>
      <c r="F4" s="249" t="s">
        <v>16</v>
      </c>
      <c r="G4" s="249"/>
      <c r="H4" s="249"/>
      <c r="I4" s="249"/>
      <c r="J4" s="241" t="s">
        <v>17</v>
      </c>
      <c r="K4" s="245"/>
      <c r="L4" s="241" t="s">
        <v>18</v>
      </c>
      <c r="M4" s="242"/>
      <c r="N4" s="248" t="s">
        <v>15</v>
      </c>
      <c r="O4" s="249"/>
      <c r="P4" s="249"/>
      <c r="Q4" s="249"/>
      <c r="R4" s="249"/>
      <c r="S4" s="249" t="s">
        <v>16</v>
      </c>
      <c r="T4" s="249"/>
      <c r="U4" s="249"/>
      <c r="V4" s="249"/>
      <c r="W4" s="241" t="s">
        <v>17</v>
      </c>
      <c r="X4" s="245"/>
      <c r="Y4" s="241" t="s">
        <v>18</v>
      </c>
      <c r="Z4" s="242"/>
      <c r="AA4" s="248" t="s">
        <v>15</v>
      </c>
      <c r="AB4" s="249"/>
      <c r="AC4" s="249"/>
      <c r="AD4" s="249"/>
      <c r="AE4" s="249"/>
      <c r="AF4" s="249" t="s">
        <v>16</v>
      </c>
      <c r="AG4" s="249"/>
      <c r="AH4" s="249"/>
      <c r="AI4" s="249"/>
      <c r="AJ4" s="241" t="s">
        <v>17</v>
      </c>
      <c r="AK4" s="245"/>
      <c r="AL4" s="241" t="s">
        <v>18</v>
      </c>
      <c r="AM4" s="242"/>
      <c r="AN4" s="248" t="s">
        <v>15</v>
      </c>
      <c r="AO4" s="249"/>
      <c r="AP4" s="249"/>
      <c r="AQ4" s="249"/>
      <c r="AR4" s="249"/>
      <c r="AS4" s="249" t="s">
        <v>16</v>
      </c>
      <c r="AT4" s="249"/>
      <c r="AU4" s="249"/>
      <c r="AV4" s="249"/>
      <c r="AW4" s="241" t="s">
        <v>17</v>
      </c>
      <c r="AX4" s="245"/>
      <c r="AY4" s="241" t="s">
        <v>18</v>
      </c>
      <c r="AZ4" s="242"/>
      <c r="BA4" s="248" t="s">
        <v>15</v>
      </c>
      <c r="BB4" s="249"/>
      <c r="BC4" s="249"/>
      <c r="BD4" s="249"/>
      <c r="BE4" s="249"/>
      <c r="BF4" s="249" t="s">
        <v>16</v>
      </c>
      <c r="BG4" s="249"/>
      <c r="BH4" s="249"/>
      <c r="BI4" s="249"/>
      <c r="BJ4" s="241" t="s">
        <v>19</v>
      </c>
      <c r="BK4" s="245"/>
      <c r="BL4" s="241" t="s">
        <v>18</v>
      </c>
      <c r="BM4" s="242"/>
      <c r="BN4" s="18"/>
      <c r="BO4" s="18"/>
      <c r="BP4" s="20"/>
      <c r="BQ4" s="20"/>
    </row>
    <row r="5" spans="1:69" ht="20.100000000000001" customHeight="1">
      <c r="A5" s="276" t="s">
        <v>20</v>
      </c>
      <c r="B5" s="277"/>
      <c r="C5" s="277"/>
      <c r="D5" s="277"/>
      <c r="E5" s="277"/>
      <c r="F5" s="278" t="s">
        <v>21</v>
      </c>
      <c r="G5" s="278"/>
      <c r="H5" s="278"/>
      <c r="I5" s="278"/>
      <c r="J5" s="257"/>
      <c r="K5" s="258"/>
      <c r="L5" s="286">
        <f>J5*16.68</f>
        <v>0</v>
      </c>
      <c r="M5" s="287"/>
      <c r="N5" s="200" t="s">
        <v>194</v>
      </c>
      <c r="O5" s="201"/>
      <c r="P5" s="201"/>
      <c r="Q5" s="201"/>
      <c r="R5" s="201"/>
      <c r="S5" s="201" t="s">
        <v>195</v>
      </c>
      <c r="T5" s="201"/>
      <c r="U5" s="201"/>
      <c r="V5" s="201"/>
      <c r="W5" s="198"/>
      <c r="X5" s="199"/>
      <c r="Y5" s="238">
        <f>W5*13.6</f>
        <v>0</v>
      </c>
      <c r="Z5" s="239"/>
      <c r="AA5" s="276" t="s">
        <v>22</v>
      </c>
      <c r="AB5" s="277"/>
      <c r="AC5" s="277"/>
      <c r="AD5" s="277"/>
      <c r="AE5" s="277"/>
      <c r="AF5" s="277" t="s">
        <v>23</v>
      </c>
      <c r="AG5" s="277"/>
      <c r="AH5" s="277"/>
      <c r="AI5" s="277"/>
      <c r="AJ5" s="257"/>
      <c r="AK5" s="258"/>
      <c r="AL5" s="286">
        <f>AJ5*14.9</f>
        <v>0</v>
      </c>
      <c r="AM5" s="287"/>
      <c r="AN5" s="276" t="s">
        <v>24</v>
      </c>
      <c r="AO5" s="277"/>
      <c r="AP5" s="277"/>
      <c r="AQ5" s="277"/>
      <c r="AR5" s="277"/>
      <c r="AS5" s="277" t="s">
        <v>25</v>
      </c>
      <c r="AT5" s="277"/>
      <c r="AU5" s="277"/>
      <c r="AV5" s="277"/>
      <c r="AW5" s="257"/>
      <c r="AX5" s="258"/>
      <c r="AY5" s="274">
        <f>AW5*15</f>
        <v>0</v>
      </c>
      <c r="AZ5" s="275"/>
      <c r="BA5" s="289" t="s">
        <v>26</v>
      </c>
      <c r="BB5" s="290"/>
      <c r="BC5" s="290"/>
      <c r="BD5" s="290"/>
      <c r="BE5" s="290"/>
      <c r="BF5" s="201" t="s">
        <v>394</v>
      </c>
      <c r="BG5" s="201"/>
      <c r="BH5" s="201"/>
      <c r="BI5" s="201"/>
      <c r="BJ5" s="246"/>
      <c r="BK5" s="247"/>
      <c r="BL5" s="243">
        <f>BJ5*0.85</f>
        <v>0</v>
      </c>
      <c r="BM5" s="244"/>
      <c r="BO5" s="2"/>
      <c r="BP5" s="20"/>
      <c r="BQ5" s="20"/>
    </row>
    <row r="6" spans="1:69" ht="20.100000000000001" customHeight="1">
      <c r="A6" s="200" t="s">
        <v>28</v>
      </c>
      <c r="B6" s="201"/>
      <c r="C6" s="201"/>
      <c r="D6" s="201"/>
      <c r="E6" s="201"/>
      <c r="F6" s="211" t="s">
        <v>29</v>
      </c>
      <c r="G6" s="211"/>
      <c r="H6" s="211"/>
      <c r="I6" s="211"/>
      <c r="J6" s="198"/>
      <c r="K6" s="199"/>
      <c r="L6" s="238">
        <f>J6*14.78</f>
        <v>0</v>
      </c>
      <c r="M6" s="239"/>
      <c r="N6" s="200" t="s">
        <v>30</v>
      </c>
      <c r="O6" s="201"/>
      <c r="P6" s="201"/>
      <c r="Q6" s="201"/>
      <c r="R6" s="201"/>
      <c r="S6" s="201"/>
      <c r="T6" s="201"/>
      <c r="U6" s="201"/>
      <c r="V6" s="201"/>
      <c r="W6" s="198"/>
      <c r="X6" s="199"/>
      <c r="Y6" s="238">
        <f>W6*6.6</f>
        <v>0</v>
      </c>
      <c r="Z6" s="239"/>
      <c r="AA6" s="200" t="s">
        <v>31</v>
      </c>
      <c r="AB6" s="201"/>
      <c r="AC6" s="201"/>
      <c r="AD6" s="201"/>
      <c r="AE6" s="201"/>
      <c r="AF6" s="201" t="s">
        <v>32</v>
      </c>
      <c r="AG6" s="201"/>
      <c r="AH6" s="201"/>
      <c r="AI6" s="201"/>
      <c r="AJ6" s="198"/>
      <c r="AK6" s="199"/>
      <c r="AL6" s="238">
        <f>AJ6*11.2</f>
        <v>0</v>
      </c>
      <c r="AM6" s="239"/>
      <c r="AN6" s="200" t="s">
        <v>24</v>
      </c>
      <c r="AO6" s="201"/>
      <c r="AP6" s="201"/>
      <c r="AQ6" s="201"/>
      <c r="AR6" s="201"/>
      <c r="AS6" s="201" t="s">
        <v>33</v>
      </c>
      <c r="AT6" s="201"/>
      <c r="AU6" s="201"/>
      <c r="AV6" s="201"/>
      <c r="AW6" s="198"/>
      <c r="AX6" s="199"/>
      <c r="AY6" s="194">
        <f>AW6*13.6</f>
        <v>0</v>
      </c>
      <c r="AZ6" s="195"/>
      <c r="BA6" s="210" t="s">
        <v>26</v>
      </c>
      <c r="BB6" s="211"/>
      <c r="BC6" s="211"/>
      <c r="BD6" s="211"/>
      <c r="BE6" s="211"/>
      <c r="BF6" s="201" t="s">
        <v>344</v>
      </c>
      <c r="BG6" s="201"/>
      <c r="BH6" s="201"/>
      <c r="BI6" s="201"/>
      <c r="BJ6" s="198"/>
      <c r="BK6" s="199"/>
      <c r="BL6" s="194">
        <f>BJ6*1</f>
        <v>0</v>
      </c>
      <c r="BM6" s="195"/>
      <c r="BO6" s="2"/>
      <c r="BP6" s="20"/>
      <c r="BQ6" s="20"/>
    </row>
    <row r="7" spans="1:69" ht="20.100000000000001" customHeight="1">
      <c r="A7" s="200" t="s">
        <v>41</v>
      </c>
      <c r="B7" s="201"/>
      <c r="C7" s="201"/>
      <c r="D7" s="201"/>
      <c r="E7" s="201"/>
      <c r="F7" s="211" t="s">
        <v>42</v>
      </c>
      <c r="G7" s="211"/>
      <c r="H7" s="211"/>
      <c r="I7" s="211"/>
      <c r="J7" s="198"/>
      <c r="K7" s="199"/>
      <c r="L7" s="238">
        <f>J7*12.38</f>
        <v>0</v>
      </c>
      <c r="M7" s="239"/>
      <c r="N7" s="200" t="s">
        <v>35</v>
      </c>
      <c r="O7" s="201"/>
      <c r="P7" s="201"/>
      <c r="Q7" s="201"/>
      <c r="R7" s="201"/>
      <c r="S7" s="201" t="s">
        <v>36</v>
      </c>
      <c r="T7" s="201"/>
      <c r="U7" s="201"/>
      <c r="V7" s="201"/>
      <c r="W7" s="198"/>
      <c r="X7" s="199"/>
      <c r="Y7" s="238">
        <f>W7*12.5</f>
        <v>0</v>
      </c>
      <c r="Z7" s="239"/>
      <c r="AA7" s="200" t="s">
        <v>37</v>
      </c>
      <c r="AB7" s="201"/>
      <c r="AC7" s="201"/>
      <c r="AD7" s="201"/>
      <c r="AE7" s="201"/>
      <c r="AF7" s="201" t="s">
        <v>38</v>
      </c>
      <c r="AG7" s="201"/>
      <c r="AH7" s="201"/>
      <c r="AI7" s="201"/>
      <c r="AJ7" s="198"/>
      <c r="AK7" s="199"/>
      <c r="AL7" s="238">
        <f>AJ7*7.58</f>
        <v>0</v>
      </c>
      <c r="AM7" s="239"/>
      <c r="AN7" s="200" t="s">
        <v>24</v>
      </c>
      <c r="AO7" s="201"/>
      <c r="AP7" s="201"/>
      <c r="AQ7" s="201"/>
      <c r="AR7" s="201"/>
      <c r="AS7" s="201" t="s">
        <v>39</v>
      </c>
      <c r="AT7" s="201"/>
      <c r="AU7" s="201"/>
      <c r="AV7" s="201"/>
      <c r="AW7" s="198"/>
      <c r="AX7" s="199"/>
      <c r="AY7" s="194">
        <f>AW7*12.3</f>
        <v>0</v>
      </c>
      <c r="AZ7" s="195"/>
      <c r="BA7" s="210" t="s">
        <v>26</v>
      </c>
      <c r="BB7" s="211"/>
      <c r="BC7" s="211"/>
      <c r="BD7" s="211"/>
      <c r="BE7" s="211"/>
      <c r="BF7" s="201" t="s">
        <v>34</v>
      </c>
      <c r="BG7" s="201"/>
      <c r="BH7" s="201"/>
      <c r="BI7" s="201"/>
      <c r="BJ7" s="198"/>
      <c r="BK7" s="199"/>
      <c r="BL7" s="194">
        <f>BJ7*1.1</f>
        <v>0</v>
      </c>
      <c r="BM7" s="195"/>
      <c r="BO7" s="2"/>
      <c r="BP7" s="20"/>
      <c r="BQ7" s="20"/>
    </row>
    <row r="8" spans="1:69" ht="20.100000000000001" customHeight="1">
      <c r="A8" s="200" t="s">
        <v>49</v>
      </c>
      <c r="B8" s="201"/>
      <c r="C8" s="201"/>
      <c r="D8" s="201"/>
      <c r="E8" s="201"/>
      <c r="F8" s="211" t="s">
        <v>50</v>
      </c>
      <c r="G8" s="211"/>
      <c r="H8" s="211"/>
      <c r="I8" s="211"/>
      <c r="J8" s="198"/>
      <c r="K8" s="199"/>
      <c r="L8" s="238">
        <f>J8*10.28</f>
        <v>0</v>
      </c>
      <c r="M8" s="239"/>
      <c r="N8" s="253" t="s">
        <v>43</v>
      </c>
      <c r="O8" s="203"/>
      <c r="P8" s="203"/>
      <c r="Q8" s="203"/>
      <c r="R8" s="204"/>
      <c r="S8" s="202" t="s">
        <v>44</v>
      </c>
      <c r="T8" s="203"/>
      <c r="U8" s="203"/>
      <c r="V8" s="204"/>
      <c r="W8" s="198"/>
      <c r="X8" s="199"/>
      <c r="Y8" s="238">
        <f>W8*3.3</f>
        <v>0</v>
      </c>
      <c r="Z8" s="239"/>
      <c r="AA8" s="200" t="s">
        <v>45</v>
      </c>
      <c r="AB8" s="201"/>
      <c r="AC8" s="201"/>
      <c r="AD8" s="201"/>
      <c r="AE8" s="201"/>
      <c r="AF8" s="201" t="s">
        <v>46</v>
      </c>
      <c r="AG8" s="201"/>
      <c r="AH8" s="201"/>
      <c r="AI8" s="201"/>
      <c r="AJ8" s="198"/>
      <c r="AK8" s="199"/>
      <c r="AL8" s="238">
        <f>AJ8*20</f>
        <v>0</v>
      </c>
      <c r="AM8" s="239"/>
      <c r="AN8" s="200" t="s">
        <v>24</v>
      </c>
      <c r="AO8" s="201"/>
      <c r="AP8" s="201"/>
      <c r="AQ8" s="201"/>
      <c r="AR8" s="201"/>
      <c r="AS8" s="201" t="s">
        <v>47</v>
      </c>
      <c r="AT8" s="201"/>
      <c r="AU8" s="201"/>
      <c r="AV8" s="201"/>
      <c r="AW8" s="198"/>
      <c r="AX8" s="199"/>
      <c r="AY8" s="194">
        <f>AW8*10.9</f>
        <v>0</v>
      </c>
      <c r="AZ8" s="195"/>
      <c r="BA8" s="210" t="s">
        <v>26</v>
      </c>
      <c r="BB8" s="211"/>
      <c r="BC8" s="211"/>
      <c r="BD8" s="211"/>
      <c r="BE8" s="211"/>
      <c r="BF8" s="201" t="s">
        <v>40</v>
      </c>
      <c r="BG8" s="201"/>
      <c r="BH8" s="201"/>
      <c r="BI8" s="201"/>
      <c r="BJ8" s="198"/>
      <c r="BK8" s="199"/>
      <c r="BL8" s="194">
        <f>BJ8*1.7</f>
        <v>0</v>
      </c>
      <c r="BM8" s="195"/>
      <c r="BO8" s="2"/>
      <c r="BP8" s="20"/>
      <c r="BQ8" s="20"/>
    </row>
    <row r="9" spans="1:69" ht="20.100000000000001" customHeight="1">
      <c r="A9" s="208"/>
      <c r="B9" s="209"/>
      <c r="C9" s="209"/>
      <c r="D9" s="209"/>
      <c r="E9" s="209"/>
      <c r="F9" s="209"/>
      <c r="G9" s="209"/>
      <c r="H9" s="209"/>
      <c r="I9" s="209"/>
      <c r="J9" s="198"/>
      <c r="K9" s="199"/>
      <c r="L9" s="196"/>
      <c r="M9" s="197"/>
      <c r="N9" s="253" t="s">
        <v>51</v>
      </c>
      <c r="O9" s="203"/>
      <c r="P9" s="203"/>
      <c r="Q9" s="203"/>
      <c r="R9" s="204"/>
      <c r="S9" s="202"/>
      <c r="T9" s="203"/>
      <c r="U9" s="203"/>
      <c r="V9" s="204"/>
      <c r="W9" s="198"/>
      <c r="X9" s="199"/>
      <c r="Y9" s="238">
        <f>W9*5.7</f>
        <v>0</v>
      </c>
      <c r="Z9" s="239"/>
      <c r="AA9" s="200" t="s">
        <v>45</v>
      </c>
      <c r="AB9" s="201"/>
      <c r="AC9" s="201"/>
      <c r="AD9" s="201"/>
      <c r="AE9" s="201"/>
      <c r="AF9" s="201" t="s">
        <v>52</v>
      </c>
      <c r="AG9" s="201"/>
      <c r="AH9" s="201"/>
      <c r="AI9" s="201"/>
      <c r="AJ9" s="198"/>
      <c r="AK9" s="199"/>
      <c r="AL9" s="238">
        <f>AJ9*10</f>
        <v>0</v>
      </c>
      <c r="AM9" s="239"/>
      <c r="AN9" s="200" t="s">
        <v>24</v>
      </c>
      <c r="AO9" s="201"/>
      <c r="AP9" s="201"/>
      <c r="AQ9" s="201"/>
      <c r="AR9" s="201"/>
      <c r="AS9" s="201" t="s">
        <v>53</v>
      </c>
      <c r="AT9" s="201"/>
      <c r="AU9" s="201"/>
      <c r="AV9" s="201"/>
      <c r="AW9" s="198"/>
      <c r="AX9" s="199"/>
      <c r="AY9" s="194">
        <f>AW9*9.56</f>
        <v>0</v>
      </c>
      <c r="AZ9" s="195"/>
      <c r="BA9" s="210" t="s">
        <v>26</v>
      </c>
      <c r="BB9" s="211"/>
      <c r="BC9" s="211"/>
      <c r="BD9" s="211"/>
      <c r="BE9" s="211"/>
      <c r="BF9" s="201" t="s">
        <v>48</v>
      </c>
      <c r="BG9" s="201"/>
      <c r="BH9" s="201"/>
      <c r="BI9" s="201"/>
      <c r="BJ9" s="198"/>
      <c r="BK9" s="199"/>
      <c r="BL9" s="194">
        <f>BJ9*1.9</f>
        <v>0</v>
      </c>
      <c r="BM9" s="195"/>
      <c r="BO9" s="2"/>
      <c r="BP9" s="20"/>
      <c r="BQ9" s="20"/>
    </row>
    <row r="10" spans="1:69" ht="20.100000000000001" customHeight="1">
      <c r="A10" s="208"/>
      <c r="B10" s="209"/>
      <c r="C10" s="209"/>
      <c r="D10" s="209"/>
      <c r="E10" s="209"/>
      <c r="F10" s="209"/>
      <c r="G10" s="209"/>
      <c r="H10" s="209"/>
      <c r="I10" s="209"/>
      <c r="J10" s="198"/>
      <c r="K10" s="199"/>
      <c r="L10" s="196"/>
      <c r="M10" s="197"/>
      <c r="N10" s="253" t="s">
        <v>55</v>
      </c>
      <c r="O10" s="203"/>
      <c r="P10" s="203"/>
      <c r="Q10" s="203"/>
      <c r="R10" s="204"/>
      <c r="S10" s="271" t="s">
        <v>56</v>
      </c>
      <c r="T10" s="272"/>
      <c r="U10" s="272"/>
      <c r="V10" s="273"/>
      <c r="W10" s="198"/>
      <c r="X10" s="199"/>
      <c r="Y10" s="238">
        <f>W10*3.3</f>
        <v>0</v>
      </c>
      <c r="Z10" s="239"/>
      <c r="AA10" s="200" t="s">
        <v>57</v>
      </c>
      <c r="AB10" s="201"/>
      <c r="AC10" s="201"/>
      <c r="AD10" s="201"/>
      <c r="AE10" s="201"/>
      <c r="AF10" s="201" t="s">
        <v>46</v>
      </c>
      <c r="AG10" s="201"/>
      <c r="AH10" s="201"/>
      <c r="AI10" s="201"/>
      <c r="AJ10" s="198"/>
      <c r="AK10" s="199"/>
      <c r="AL10" s="238">
        <f>AJ10*20</f>
        <v>0</v>
      </c>
      <c r="AM10" s="239"/>
      <c r="AN10" s="200" t="s">
        <v>24</v>
      </c>
      <c r="AO10" s="201"/>
      <c r="AP10" s="201"/>
      <c r="AQ10" s="201"/>
      <c r="AR10" s="201"/>
      <c r="AS10" s="201" t="s">
        <v>58</v>
      </c>
      <c r="AT10" s="201"/>
      <c r="AU10" s="201"/>
      <c r="AV10" s="201"/>
      <c r="AW10" s="198"/>
      <c r="AX10" s="199"/>
      <c r="AY10" s="194">
        <f>AW10*8.19</f>
        <v>0</v>
      </c>
      <c r="AZ10" s="195"/>
      <c r="BA10" s="210" t="s">
        <v>26</v>
      </c>
      <c r="BB10" s="211"/>
      <c r="BC10" s="211"/>
      <c r="BD10" s="211"/>
      <c r="BE10" s="211"/>
      <c r="BF10" s="201" t="s">
        <v>54</v>
      </c>
      <c r="BG10" s="201"/>
      <c r="BH10" s="201"/>
      <c r="BI10" s="201"/>
      <c r="BJ10" s="198"/>
      <c r="BK10" s="199"/>
      <c r="BL10" s="194">
        <f>BJ10*2.2</f>
        <v>0</v>
      </c>
      <c r="BM10" s="195"/>
      <c r="BO10" s="2"/>
      <c r="BP10" s="20"/>
      <c r="BQ10" s="20"/>
    </row>
    <row r="11" spans="1:69" ht="20.100000000000001" customHeight="1">
      <c r="A11" s="208"/>
      <c r="B11" s="209"/>
      <c r="C11" s="209"/>
      <c r="D11" s="209"/>
      <c r="E11" s="209"/>
      <c r="F11" s="209"/>
      <c r="G11" s="209"/>
      <c r="H11" s="209"/>
      <c r="I11" s="209"/>
      <c r="J11" s="198"/>
      <c r="K11" s="199"/>
      <c r="L11" s="196"/>
      <c r="M11" s="197"/>
      <c r="N11" s="208"/>
      <c r="O11" s="209"/>
      <c r="P11" s="209"/>
      <c r="Q11" s="209"/>
      <c r="R11" s="209"/>
      <c r="S11" s="209"/>
      <c r="T11" s="209"/>
      <c r="U11" s="209"/>
      <c r="V11" s="209"/>
      <c r="W11" s="198"/>
      <c r="X11" s="199"/>
      <c r="Y11" s="196"/>
      <c r="Z11" s="197"/>
      <c r="AA11" s="200" t="s">
        <v>57</v>
      </c>
      <c r="AB11" s="201"/>
      <c r="AC11" s="201"/>
      <c r="AD11" s="201"/>
      <c r="AE11" s="201"/>
      <c r="AF11" s="201" t="s">
        <v>52</v>
      </c>
      <c r="AG11" s="201"/>
      <c r="AH11" s="201"/>
      <c r="AI11" s="201"/>
      <c r="AJ11" s="198"/>
      <c r="AK11" s="199"/>
      <c r="AL11" s="238">
        <f>AJ11*10</f>
        <v>0</v>
      </c>
      <c r="AM11" s="239"/>
      <c r="AN11" s="200" t="s">
        <v>24</v>
      </c>
      <c r="AO11" s="201"/>
      <c r="AP11" s="201"/>
      <c r="AQ11" s="201"/>
      <c r="AR11" s="201"/>
      <c r="AS11" s="201" t="s">
        <v>60</v>
      </c>
      <c r="AT11" s="201"/>
      <c r="AU11" s="201"/>
      <c r="AV11" s="201"/>
      <c r="AW11" s="198"/>
      <c r="AX11" s="199"/>
      <c r="AY11" s="194">
        <f>AW11*6.82</f>
        <v>0</v>
      </c>
      <c r="AZ11" s="195"/>
      <c r="BA11" s="210" t="s">
        <v>26</v>
      </c>
      <c r="BB11" s="211"/>
      <c r="BC11" s="211"/>
      <c r="BD11" s="211"/>
      <c r="BE11" s="211"/>
      <c r="BF11" s="201" t="s">
        <v>59</v>
      </c>
      <c r="BG11" s="201"/>
      <c r="BH11" s="201"/>
      <c r="BI11" s="201"/>
      <c r="BJ11" s="198"/>
      <c r="BK11" s="199"/>
      <c r="BL11" s="194">
        <f>BJ11*2.7</f>
        <v>0</v>
      </c>
      <c r="BM11" s="195"/>
      <c r="BO11" s="2"/>
      <c r="BP11" s="20"/>
      <c r="BQ11" s="20"/>
    </row>
    <row r="12" spans="1:69" ht="20.100000000000001" customHeight="1">
      <c r="A12" s="208"/>
      <c r="B12" s="209"/>
      <c r="C12" s="209"/>
      <c r="D12" s="209"/>
      <c r="E12" s="209"/>
      <c r="F12" s="209"/>
      <c r="G12" s="209"/>
      <c r="H12" s="209"/>
      <c r="I12" s="209"/>
      <c r="J12" s="198"/>
      <c r="K12" s="199"/>
      <c r="L12" s="196"/>
      <c r="M12" s="197"/>
      <c r="N12" s="208"/>
      <c r="O12" s="209"/>
      <c r="P12" s="209"/>
      <c r="Q12" s="209"/>
      <c r="R12" s="209"/>
      <c r="S12" s="209"/>
      <c r="T12" s="209"/>
      <c r="U12" s="209"/>
      <c r="V12" s="209"/>
      <c r="W12" s="198"/>
      <c r="X12" s="199"/>
      <c r="Y12" s="196"/>
      <c r="Z12" s="197"/>
      <c r="AA12" s="200" t="s">
        <v>61</v>
      </c>
      <c r="AB12" s="201"/>
      <c r="AC12" s="201"/>
      <c r="AD12" s="201"/>
      <c r="AE12" s="201"/>
      <c r="AF12" s="201"/>
      <c r="AG12" s="201"/>
      <c r="AH12" s="201"/>
      <c r="AI12" s="201"/>
      <c r="AJ12" s="198"/>
      <c r="AK12" s="199"/>
      <c r="AL12" s="194">
        <f>AJ12*1.25</f>
        <v>0</v>
      </c>
      <c r="AM12" s="195"/>
      <c r="AN12" s="200" t="s">
        <v>62</v>
      </c>
      <c r="AO12" s="201"/>
      <c r="AP12" s="201"/>
      <c r="AQ12" s="201"/>
      <c r="AR12" s="201"/>
      <c r="AS12" s="201" t="s">
        <v>63</v>
      </c>
      <c r="AT12" s="201"/>
      <c r="AU12" s="201"/>
      <c r="AV12" s="201"/>
      <c r="AW12" s="198"/>
      <c r="AX12" s="199"/>
      <c r="AY12" s="194">
        <f>AW12*5.46</f>
        <v>0</v>
      </c>
      <c r="AZ12" s="195"/>
      <c r="BA12" s="208"/>
      <c r="BB12" s="209"/>
      <c r="BC12" s="209"/>
      <c r="BD12" s="209"/>
      <c r="BE12" s="209"/>
      <c r="BF12" s="209"/>
      <c r="BG12" s="209"/>
      <c r="BH12" s="209"/>
      <c r="BI12" s="209"/>
      <c r="BJ12" s="198"/>
      <c r="BK12" s="199"/>
      <c r="BL12" s="196"/>
      <c r="BM12" s="197"/>
      <c r="BO12" s="2"/>
      <c r="BP12" s="20"/>
      <c r="BQ12" s="20"/>
    </row>
    <row r="13" spans="1:69" ht="20.100000000000001" customHeight="1">
      <c r="A13" s="200" t="s">
        <v>64</v>
      </c>
      <c r="B13" s="201"/>
      <c r="C13" s="201"/>
      <c r="D13" s="201"/>
      <c r="E13" s="201"/>
      <c r="F13" s="211" t="s">
        <v>65</v>
      </c>
      <c r="G13" s="211"/>
      <c r="H13" s="211"/>
      <c r="I13" s="211"/>
      <c r="J13" s="198"/>
      <c r="K13" s="199"/>
      <c r="L13" s="238">
        <f>J13*17.6</f>
        <v>0</v>
      </c>
      <c r="M13" s="239"/>
      <c r="N13" s="200" t="s">
        <v>66</v>
      </c>
      <c r="O13" s="201"/>
      <c r="P13" s="201"/>
      <c r="Q13" s="201"/>
      <c r="R13" s="201"/>
      <c r="S13" s="201" t="s">
        <v>67</v>
      </c>
      <c r="T13" s="201"/>
      <c r="U13" s="201"/>
      <c r="V13" s="201"/>
      <c r="W13" s="198"/>
      <c r="X13" s="199"/>
      <c r="Y13" s="238">
        <f>W13*55.7</f>
        <v>0</v>
      </c>
      <c r="Z13" s="239"/>
      <c r="AA13" s="200" t="s">
        <v>68</v>
      </c>
      <c r="AB13" s="201"/>
      <c r="AC13" s="201"/>
      <c r="AD13" s="201"/>
      <c r="AE13" s="201"/>
      <c r="AF13" s="201" t="s">
        <v>69</v>
      </c>
      <c r="AG13" s="201"/>
      <c r="AH13" s="201"/>
      <c r="AI13" s="201"/>
      <c r="AJ13" s="198"/>
      <c r="AK13" s="199"/>
      <c r="AL13" s="238">
        <f>AJ13*14.3</f>
        <v>0</v>
      </c>
      <c r="AM13" s="239"/>
      <c r="AN13" s="200" t="s">
        <v>62</v>
      </c>
      <c r="AO13" s="201"/>
      <c r="AP13" s="201"/>
      <c r="AQ13" s="201"/>
      <c r="AR13" s="201"/>
      <c r="AS13" s="201" t="s">
        <v>70</v>
      </c>
      <c r="AT13" s="201"/>
      <c r="AU13" s="201"/>
      <c r="AV13" s="201"/>
      <c r="AW13" s="198"/>
      <c r="AX13" s="199"/>
      <c r="AY13" s="194">
        <f>AW13*4.91</f>
        <v>0</v>
      </c>
      <c r="AZ13" s="195"/>
      <c r="BA13" s="208"/>
      <c r="BB13" s="209"/>
      <c r="BC13" s="209"/>
      <c r="BD13" s="209"/>
      <c r="BE13" s="209"/>
      <c r="BF13" s="209"/>
      <c r="BG13" s="209"/>
      <c r="BH13" s="209"/>
      <c r="BI13" s="209"/>
      <c r="BJ13" s="198"/>
      <c r="BK13" s="199"/>
      <c r="BL13" s="196"/>
      <c r="BM13" s="197"/>
      <c r="BO13" s="2"/>
      <c r="BP13" s="20"/>
      <c r="BQ13" s="20"/>
    </row>
    <row r="14" spans="1:69" ht="20.100000000000001" customHeight="1">
      <c r="A14" s="200" t="s">
        <v>71</v>
      </c>
      <c r="B14" s="201"/>
      <c r="C14" s="201"/>
      <c r="D14" s="201"/>
      <c r="E14" s="201"/>
      <c r="F14" s="211" t="s">
        <v>72</v>
      </c>
      <c r="G14" s="211"/>
      <c r="H14" s="211"/>
      <c r="I14" s="211"/>
      <c r="J14" s="198"/>
      <c r="K14" s="199"/>
      <c r="L14" s="238">
        <f>J14*13.9</f>
        <v>0</v>
      </c>
      <c r="M14" s="239"/>
      <c r="N14" s="200" t="s">
        <v>73</v>
      </c>
      <c r="O14" s="201"/>
      <c r="P14" s="201"/>
      <c r="Q14" s="201"/>
      <c r="R14" s="201"/>
      <c r="S14" s="201" t="s">
        <v>74</v>
      </c>
      <c r="T14" s="201"/>
      <c r="U14" s="201"/>
      <c r="V14" s="201"/>
      <c r="W14" s="198"/>
      <c r="X14" s="199"/>
      <c r="Y14" s="238">
        <f>W14*38.8</f>
        <v>0</v>
      </c>
      <c r="Z14" s="239"/>
      <c r="AA14" s="200" t="s">
        <v>68</v>
      </c>
      <c r="AB14" s="201"/>
      <c r="AC14" s="201"/>
      <c r="AD14" s="201"/>
      <c r="AE14" s="201"/>
      <c r="AF14" s="201" t="s">
        <v>75</v>
      </c>
      <c r="AG14" s="201"/>
      <c r="AH14" s="201"/>
      <c r="AI14" s="201"/>
      <c r="AJ14" s="198"/>
      <c r="AK14" s="199"/>
      <c r="AL14" s="238">
        <f>AJ14*10.4</f>
        <v>0</v>
      </c>
      <c r="AM14" s="239"/>
      <c r="AN14" s="200" t="s">
        <v>62</v>
      </c>
      <c r="AO14" s="201"/>
      <c r="AP14" s="201"/>
      <c r="AQ14" s="201"/>
      <c r="AR14" s="201"/>
      <c r="AS14" s="201" t="s">
        <v>76</v>
      </c>
      <c r="AT14" s="201"/>
      <c r="AU14" s="201"/>
      <c r="AV14" s="201"/>
      <c r="AW14" s="198"/>
      <c r="AX14" s="199"/>
      <c r="AY14" s="194">
        <f>AW14*4.1</f>
        <v>0</v>
      </c>
      <c r="AZ14" s="195"/>
      <c r="BA14" s="253" t="s">
        <v>123</v>
      </c>
      <c r="BB14" s="203"/>
      <c r="BC14" s="203"/>
      <c r="BD14" s="203"/>
      <c r="BE14" s="204"/>
      <c r="BF14" s="202" t="s">
        <v>124</v>
      </c>
      <c r="BG14" s="203"/>
      <c r="BH14" s="203"/>
      <c r="BI14" s="204"/>
      <c r="BJ14" s="198"/>
      <c r="BK14" s="199"/>
      <c r="BL14" s="194">
        <f>BJ14*0.75</f>
        <v>0</v>
      </c>
      <c r="BM14" s="195"/>
      <c r="BO14" s="2"/>
      <c r="BP14" s="20"/>
      <c r="BQ14" s="20"/>
    </row>
    <row r="15" spans="1:69" ht="20.100000000000001" customHeight="1">
      <c r="A15" s="200" t="s">
        <v>77</v>
      </c>
      <c r="B15" s="201"/>
      <c r="C15" s="201"/>
      <c r="D15" s="201"/>
      <c r="E15" s="201"/>
      <c r="F15" s="211" t="s">
        <v>78</v>
      </c>
      <c r="G15" s="211"/>
      <c r="H15" s="211"/>
      <c r="I15" s="211"/>
      <c r="J15" s="198"/>
      <c r="K15" s="199"/>
      <c r="L15" s="238">
        <f>J15*11.6</f>
        <v>0</v>
      </c>
      <c r="M15" s="239"/>
      <c r="N15" s="200" t="s">
        <v>79</v>
      </c>
      <c r="O15" s="201"/>
      <c r="P15" s="201"/>
      <c r="Q15" s="201"/>
      <c r="R15" s="201"/>
      <c r="S15" s="201" t="s">
        <v>80</v>
      </c>
      <c r="T15" s="201"/>
      <c r="U15" s="201"/>
      <c r="V15" s="201"/>
      <c r="W15" s="198"/>
      <c r="X15" s="199"/>
      <c r="Y15" s="238">
        <f>W15*28.2</f>
        <v>0</v>
      </c>
      <c r="Z15" s="239"/>
      <c r="AA15" s="200" t="s">
        <v>68</v>
      </c>
      <c r="AB15" s="201"/>
      <c r="AC15" s="201"/>
      <c r="AD15" s="201"/>
      <c r="AE15" s="201"/>
      <c r="AF15" s="201" t="s">
        <v>81</v>
      </c>
      <c r="AG15" s="201"/>
      <c r="AH15" s="201"/>
      <c r="AI15" s="201"/>
      <c r="AJ15" s="198"/>
      <c r="AK15" s="199"/>
      <c r="AL15" s="238">
        <f>AJ15*6.9</f>
        <v>0</v>
      </c>
      <c r="AM15" s="239"/>
      <c r="AN15" s="200" t="s">
        <v>62</v>
      </c>
      <c r="AO15" s="201"/>
      <c r="AP15" s="201"/>
      <c r="AQ15" s="201"/>
      <c r="AR15" s="201"/>
      <c r="AS15" s="201" t="s">
        <v>82</v>
      </c>
      <c r="AT15" s="201"/>
      <c r="AU15" s="201"/>
      <c r="AV15" s="201"/>
      <c r="AW15" s="198"/>
      <c r="AX15" s="199"/>
      <c r="AY15" s="194">
        <f>AW15*3.28</f>
        <v>0</v>
      </c>
      <c r="AZ15" s="195"/>
      <c r="BA15" s="253" t="s">
        <v>123</v>
      </c>
      <c r="BB15" s="203"/>
      <c r="BC15" s="203"/>
      <c r="BD15" s="203"/>
      <c r="BE15" s="204"/>
      <c r="BF15" s="202" t="s">
        <v>128</v>
      </c>
      <c r="BG15" s="203"/>
      <c r="BH15" s="203"/>
      <c r="BI15" s="204"/>
      <c r="BJ15" s="198"/>
      <c r="BK15" s="199"/>
      <c r="BL15" s="194">
        <f>BJ15*0.75</f>
        <v>0</v>
      </c>
      <c r="BM15" s="195"/>
      <c r="BO15" s="2"/>
      <c r="BP15" s="20"/>
      <c r="BQ15" s="20"/>
    </row>
    <row r="16" spans="1:69" ht="20.100000000000001" customHeight="1">
      <c r="A16" s="200" t="s">
        <v>83</v>
      </c>
      <c r="B16" s="201"/>
      <c r="C16" s="201"/>
      <c r="D16" s="201"/>
      <c r="E16" s="201"/>
      <c r="F16" s="211" t="s">
        <v>84</v>
      </c>
      <c r="G16" s="211"/>
      <c r="H16" s="211"/>
      <c r="I16" s="211"/>
      <c r="J16" s="198"/>
      <c r="K16" s="199"/>
      <c r="L16" s="238">
        <f>J16*9.26</f>
        <v>0</v>
      </c>
      <c r="M16" s="239"/>
      <c r="N16" s="200" t="s">
        <v>85</v>
      </c>
      <c r="O16" s="201"/>
      <c r="P16" s="201"/>
      <c r="Q16" s="201"/>
      <c r="R16" s="201"/>
      <c r="S16" s="201">
        <v>1219</v>
      </c>
      <c r="T16" s="201"/>
      <c r="U16" s="201"/>
      <c r="V16" s="201"/>
      <c r="W16" s="198"/>
      <c r="X16" s="199"/>
      <c r="Y16" s="238">
        <f>W16*8.7</f>
        <v>0</v>
      </c>
      <c r="Z16" s="239"/>
      <c r="AA16" s="200" t="s">
        <v>86</v>
      </c>
      <c r="AB16" s="201"/>
      <c r="AC16" s="201"/>
      <c r="AD16" s="201"/>
      <c r="AE16" s="201"/>
      <c r="AF16" s="202" t="s">
        <v>87</v>
      </c>
      <c r="AG16" s="203"/>
      <c r="AH16" s="203"/>
      <c r="AI16" s="204"/>
      <c r="AJ16" s="198"/>
      <c r="AK16" s="199"/>
      <c r="AL16" s="238">
        <f>AJ16*5.5</f>
        <v>0</v>
      </c>
      <c r="AM16" s="239"/>
      <c r="AN16" s="200" t="s">
        <v>62</v>
      </c>
      <c r="AO16" s="201"/>
      <c r="AP16" s="201"/>
      <c r="AQ16" s="201"/>
      <c r="AR16" s="201"/>
      <c r="AS16" s="201" t="s">
        <v>88</v>
      </c>
      <c r="AT16" s="201"/>
      <c r="AU16" s="201"/>
      <c r="AV16" s="201"/>
      <c r="AW16" s="198"/>
      <c r="AX16" s="199"/>
      <c r="AY16" s="194">
        <f>AW16*2.73</f>
        <v>0</v>
      </c>
      <c r="AZ16" s="195"/>
      <c r="BA16" s="253" t="s">
        <v>123</v>
      </c>
      <c r="BB16" s="203"/>
      <c r="BC16" s="203"/>
      <c r="BD16" s="203"/>
      <c r="BE16" s="204"/>
      <c r="BF16" s="202" t="s">
        <v>132</v>
      </c>
      <c r="BG16" s="203"/>
      <c r="BH16" s="203"/>
      <c r="BI16" s="204"/>
      <c r="BJ16" s="198"/>
      <c r="BK16" s="199"/>
      <c r="BL16" s="194">
        <f>BJ16*1.1</f>
        <v>0</v>
      </c>
      <c r="BM16" s="195"/>
      <c r="BO16" s="2"/>
      <c r="BP16" s="20"/>
      <c r="BQ16" s="20"/>
    </row>
    <row r="17" spans="1:69" ht="20.100000000000001" customHeight="1">
      <c r="A17" s="200" t="s">
        <v>89</v>
      </c>
      <c r="B17" s="201"/>
      <c r="C17" s="201"/>
      <c r="D17" s="201"/>
      <c r="E17" s="201"/>
      <c r="F17" s="211" t="s">
        <v>90</v>
      </c>
      <c r="G17" s="211"/>
      <c r="H17" s="211"/>
      <c r="I17" s="211"/>
      <c r="J17" s="198"/>
      <c r="K17" s="199"/>
      <c r="L17" s="238">
        <f>J17*6.94</f>
        <v>0</v>
      </c>
      <c r="M17" s="239"/>
      <c r="N17" s="200" t="s">
        <v>91</v>
      </c>
      <c r="O17" s="201"/>
      <c r="P17" s="201"/>
      <c r="Q17" s="201"/>
      <c r="R17" s="201"/>
      <c r="S17" s="201">
        <v>914</v>
      </c>
      <c r="T17" s="201"/>
      <c r="U17" s="201"/>
      <c r="V17" s="201"/>
      <c r="W17" s="198"/>
      <c r="X17" s="199"/>
      <c r="Y17" s="238">
        <f>W17*5.4</f>
        <v>0</v>
      </c>
      <c r="Z17" s="239"/>
      <c r="AA17" s="269"/>
      <c r="AB17" s="270"/>
      <c r="AC17" s="270"/>
      <c r="AD17" s="270"/>
      <c r="AE17" s="39"/>
      <c r="AF17" s="209"/>
      <c r="AG17" s="209"/>
      <c r="AH17" s="209"/>
      <c r="AI17" s="209"/>
      <c r="AJ17" s="198"/>
      <c r="AK17" s="199"/>
      <c r="AL17" s="196"/>
      <c r="AM17" s="197"/>
      <c r="AN17" s="200" t="s">
        <v>62</v>
      </c>
      <c r="AO17" s="201"/>
      <c r="AP17" s="201"/>
      <c r="AQ17" s="201"/>
      <c r="AR17" s="201"/>
      <c r="AS17" s="201" t="s">
        <v>92</v>
      </c>
      <c r="AT17" s="201"/>
      <c r="AU17" s="201"/>
      <c r="AV17" s="201"/>
      <c r="AW17" s="198"/>
      <c r="AX17" s="199"/>
      <c r="AY17" s="194">
        <f>AW17*2.46</f>
        <v>0</v>
      </c>
      <c r="AZ17" s="195"/>
      <c r="BA17" s="254" t="s">
        <v>322</v>
      </c>
      <c r="BB17" s="251"/>
      <c r="BC17" s="251"/>
      <c r="BD17" s="251"/>
      <c r="BE17" s="252"/>
      <c r="BF17" s="250"/>
      <c r="BG17" s="251"/>
      <c r="BH17" s="251"/>
      <c r="BI17" s="252"/>
      <c r="BJ17" s="198"/>
      <c r="BK17" s="199"/>
      <c r="BL17" s="194">
        <f>BJ17*0.68</f>
        <v>0</v>
      </c>
      <c r="BM17" s="195"/>
      <c r="BO17" s="2"/>
      <c r="BP17" s="20"/>
      <c r="BQ17" s="20"/>
    </row>
    <row r="18" spans="1:69" ht="20.100000000000001" customHeight="1">
      <c r="A18" s="200" t="s">
        <v>93</v>
      </c>
      <c r="B18" s="201"/>
      <c r="C18" s="201"/>
      <c r="D18" s="201"/>
      <c r="E18" s="201"/>
      <c r="F18" s="211" t="s">
        <v>94</v>
      </c>
      <c r="G18" s="211"/>
      <c r="H18" s="211"/>
      <c r="I18" s="211"/>
      <c r="J18" s="198"/>
      <c r="K18" s="199"/>
      <c r="L18" s="238">
        <f>J18*8.88</f>
        <v>0</v>
      </c>
      <c r="M18" s="239"/>
      <c r="N18" s="200" t="s">
        <v>98</v>
      </c>
      <c r="O18" s="201"/>
      <c r="P18" s="201"/>
      <c r="Q18" s="201"/>
      <c r="R18" s="201"/>
      <c r="S18" s="201">
        <v>610</v>
      </c>
      <c r="T18" s="201"/>
      <c r="U18" s="201"/>
      <c r="V18" s="201"/>
      <c r="W18" s="198"/>
      <c r="X18" s="199"/>
      <c r="Y18" s="238">
        <f>W18*4.7</f>
        <v>0</v>
      </c>
      <c r="Z18" s="239"/>
      <c r="AA18" s="269"/>
      <c r="AB18" s="270"/>
      <c r="AC18" s="270"/>
      <c r="AD18" s="270"/>
      <c r="AE18" s="39"/>
      <c r="AF18" s="209"/>
      <c r="AG18" s="209"/>
      <c r="AH18" s="209"/>
      <c r="AI18" s="209"/>
      <c r="AJ18" s="198"/>
      <c r="AK18" s="199"/>
      <c r="AL18" s="196"/>
      <c r="AM18" s="197"/>
      <c r="AN18" s="200" t="s">
        <v>62</v>
      </c>
      <c r="AO18" s="201"/>
      <c r="AP18" s="201"/>
      <c r="AQ18" s="201"/>
      <c r="AR18" s="201"/>
      <c r="AS18" s="201" t="s">
        <v>95</v>
      </c>
      <c r="AT18" s="201"/>
      <c r="AU18" s="201"/>
      <c r="AV18" s="201"/>
      <c r="AW18" s="198"/>
      <c r="AX18" s="199"/>
      <c r="AY18" s="194">
        <f>AW18*2.18</f>
        <v>0</v>
      </c>
      <c r="AZ18" s="195"/>
      <c r="BA18" s="253" t="s">
        <v>135</v>
      </c>
      <c r="BB18" s="203"/>
      <c r="BC18" s="203"/>
      <c r="BD18" s="203"/>
      <c r="BE18" s="204"/>
      <c r="BF18" s="202"/>
      <c r="BG18" s="203"/>
      <c r="BH18" s="203"/>
      <c r="BI18" s="204"/>
      <c r="BJ18" s="198"/>
      <c r="BK18" s="199"/>
      <c r="BL18" s="194">
        <f>BJ18*0.8</f>
        <v>0</v>
      </c>
      <c r="BM18" s="195"/>
      <c r="BO18" s="2"/>
      <c r="BP18" s="20"/>
      <c r="BQ18" s="20"/>
    </row>
    <row r="19" spans="1:69" ht="20.100000000000001" customHeight="1">
      <c r="A19" s="200" t="s">
        <v>96</v>
      </c>
      <c r="B19" s="201"/>
      <c r="C19" s="201"/>
      <c r="D19" s="201"/>
      <c r="E19" s="201"/>
      <c r="F19" s="211" t="s">
        <v>97</v>
      </c>
      <c r="G19" s="211"/>
      <c r="H19" s="211"/>
      <c r="I19" s="211"/>
      <c r="J19" s="198"/>
      <c r="K19" s="199"/>
      <c r="L19" s="238">
        <f>J19*7.82</f>
        <v>0</v>
      </c>
      <c r="M19" s="239"/>
      <c r="N19" s="200" t="s">
        <v>102</v>
      </c>
      <c r="O19" s="201"/>
      <c r="P19" s="201"/>
      <c r="Q19" s="201"/>
      <c r="R19" s="201"/>
      <c r="S19" s="201">
        <v>410</v>
      </c>
      <c r="T19" s="201"/>
      <c r="U19" s="201"/>
      <c r="V19" s="201"/>
      <c r="W19" s="198"/>
      <c r="X19" s="199"/>
      <c r="Y19" s="238">
        <f>W19*4.2</f>
        <v>0</v>
      </c>
      <c r="Z19" s="239"/>
      <c r="AA19" s="269"/>
      <c r="AB19" s="270"/>
      <c r="AC19" s="270"/>
      <c r="AD19" s="270"/>
      <c r="AE19" s="39"/>
      <c r="AF19" s="209"/>
      <c r="AG19" s="209"/>
      <c r="AH19" s="209"/>
      <c r="AI19" s="209"/>
      <c r="AJ19" s="198"/>
      <c r="AK19" s="199"/>
      <c r="AL19" s="196"/>
      <c r="AM19" s="197"/>
      <c r="AN19" s="200" t="s">
        <v>62</v>
      </c>
      <c r="AO19" s="201"/>
      <c r="AP19" s="201"/>
      <c r="AQ19" s="201"/>
      <c r="AR19" s="201"/>
      <c r="AS19" s="201" t="s">
        <v>99</v>
      </c>
      <c r="AT19" s="201"/>
      <c r="AU19" s="201"/>
      <c r="AV19" s="201"/>
      <c r="AW19" s="198"/>
      <c r="AX19" s="199"/>
      <c r="AY19" s="194">
        <f>AW19*1.91</f>
        <v>0</v>
      </c>
      <c r="AZ19" s="195"/>
      <c r="BA19" s="205" t="s">
        <v>323</v>
      </c>
      <c r="BB19" s="206"/>
      <c r="BC19" s="206"/>
      <c r="BD19" s="206"/>
      <c r="BE19" s="207"/>
      <c r="BF19" s="202" t="s">
        <v>324</v>
      </c>
      <c r="BG19" s="203"/>
      <c r="BH19" s="203"/>
      <c r="BI19" s="204"/>
      <c r="BJ19" s="198"/>
      <c r="BK19" s="199"/>
      <c r="BL19" s="194">
        <f>BJ19*1.08</f>
        <v>0</v>
      </c>
      <c r="BM19" s="195"/>
      <c r="BO19" s="2"/>
      <c r="BP19" s="20"/>
      <c r="BQ19" s="20"/>
    </row>
    <row r="20" spans="1:69" ht="20.100000000000001" customHeight="1">
      <c r="A20" s="200" t="s">
        <v>100</v>
      </c>
      <c r="B20" s="201"/>
      <c r="C20" s="201"/>
      <c r="D20" s="201"/>
      <c r="E20" s="201"/>
      <c r="F20" s="211" t="s">
        <v>101</v>
      </c>
      <c r="G20" s="211"/>
      <c r="H20" s="211"/>
      <c r="I20" s="211"/>
      <c r="J20" s="198"/>
      <c r="K20" s="199"/>
      <c r="L20" s="238">
        <f>J20*6.66</f>
        <v>0</v>
      </c>
      <c r="M20" s="239"/>
      <c r="N20" s="200" t="s">
        <v>106</v>
      </c>
      <c r="O20" s="201"/>
      <c r="P20" s="201"/>
      <c r="Q20" s="201"/>
      <c r="R20" s="201"/>
      <c r="S20" s="201"/>
      <c r="T20" s="201"/>
      <c r="U20" s="201"/>
      <c r="V20" s="201"/>
      <c r="W20" s="198"/>
      <c r="X20" s="199"/>
      <c r="Y20" s="238">
        <f>W20*2.9</f>
        <v>0</v>
      </c>
      <c r="Z20" s="239"/>
      <c r="AA20" s="269"/>
      <c r="AB20" s="270"/>
      <c r="AC20" s="270"/>
      <c r="AD20" s="270"/>
      <c r="AE20" s="39"/>
      <c r="AF20" s="209"/>
      <c r="AG20" s="209"/>
      <c r="AH20" s="209"/>
      <c r="AI20" s="209"/>
      <c r="AJ20" s="198"/>
      <c r="AK20" s="199"/>
      <c r="AL20" s="196"/>
      <c r="AM20" s="197"/>
      <c r="AN20" s="200" t="s">
        <v>62</v>
      </c>
      <c r="AO20" s="201"/>
      <c r="AP20" s="201"/>
      <c r="AQ20" s="201"/>
      <c r="AR20" s="201"/>
      <c r="AS20" s="201" t="s">
        <v>103</v>
      </c>
      <c r="AT20" s="201"/>
      <c r="AU20" s="201"/>
      <c r="AV20" s="201"/>
      <c r="AW20" s="198"/>
      <c r="AX20" s="199"/>
      <c r="AY20" s="194">
        <f>AW20*1.64</f>
        <v>0</v>
      </c>
      <c r="AZ20" s="195"/>
      <c r="BA20" s="208"/>
      <c r="BB20" s="209"/>
      <c r="BC20" s="209"/>
      <c r="BD20" s="209"/>
      <c r="BE20" s="209"/>
      <c r="BF20" s="209"/>
      <c r="BG20" s="209"/>
      <c r="BH20" s="209"/>
      <c r="BI20" s="209"/>
      <c r="BJ20" s="198"/>
      <c r="BK20" s="199"/>
      <c r="BL20" s="196"/>
      <c r="BM20" s="197"/>
      <c r="BO20" s="2"/>
      <c r="BP20" s="20"/>
      <c r="BQ20" s="20"/>
    </row>
    <row r="21" spans="1:69" ht="20.100000000000001" customHeight="1">
      <c r="A21" s="200" t="s">
        <v>104</v>
      </c>
      <c r="B21" s="201"/>
      <c r="C21" s="201"/>
      <c r="D21" s="201"/>
      <c r="E21" s="201"/>
      <c r="F21" s="211" t="s">
        <v>105</v>
      </c>
      <c r="G21" s="211"/>
      <c r="H21" s="211"/>
      <c r="I21" s="211"/>
      <c r="J21" s="198"/>
      <c r="K21" s="199"/>
      <c r="L21" s="238">
        <f>J21*5.5</f>
        <v>0</v>
      </c>
      <c r="M21" s="239"/>
      <c r="N21" s="200" t="s">
        <v>115</v>
      </c>
      <c r="O21" s="201"/>
      <c r="P21" s="201"/>
      <c r="Q21" s="201"/>
      <c r="R21" s="201"/>
      <c r="S21" s="201" t="s">
        <v>116</v>
      </c>
      <c r="T21" s="201"/>
      <c r="U21" s="201"/>
      <c r="V21" s="201"/>
      <c r="W21" s="198"/>
      <c r="X21" s="199"/>
      <c r="Y21" s="238">
        <f>W21*6.2</f>
        <v>0</v>
      </c>
      <c r="Z21" s="239"/>
      <c r="AA21" s="269"/>
      <c r="AB21" s="270"/>
      <c r="AC21" s="270"/>
      <c r="AD21" s="270"/>
      <c r="AE21" s="39"/>
      <c r="AF21" s="209"/>
      <c r="AG21" s="209"/>
      <c r="AH21" s="209"/>
      <c r="AI21" s="209"/>
      <c r="AJ21" s="198"/>
      <c r="AK21" s="199"/>
      <c r="AL21" s="196"/>
      <c r="AM21" s="197"/>
      <c r="AN21" s="200" t="s">
        <v>62</v>
      </c>
      <c r="AO21" s="201"/>
      <c r="AP21" s="201"/>
      <c r="AQ21" s="201"/>
      <c r="AR21" s="201"/>
      <c r="AS21" s="201" t="s">
        <v>107</v>
      </c>
      <c r="AT21" s="201"/>
      <c r="AU21" s="201"/>
      <c r="AV21" s="201"/>
      <c r="AW21" s="198"/>
      <c r="AX21" s="199"/>
      <c r="AY21" s="194">
        <f>AW21*1.36</f>
        <v>0</v>
      </c>
      <c r="AZ21" s="195"/>
      <c r="BA21" s="208"/>
      <c r="BB21" s="209"/>
      <c r="BC21" s="209"/>
      <c r="BD21" s="209"/>
      <c r="BE21" s="209"/>
      <c r="BF21" s="209"/>
      <c r="BG21" s="209"/>
      <c r="BH21" s="209"/>
      <c r="BI21" s="209"/>
      <c r="BJ21" s="198"/>
      <c r="BK21" s="199"/>
      <c r="BL21" s="196"/>
      <c r="BM21" s="197"/>
      <c r="BO21" s="2"/>
      <c r="BP21" s="20"/>
      <c r="BQ21" s="20"/>
    </row>
    <row r="22" spans="1:69" ht="20.100000000000001" customHeight="1">
      <c r="A22" s="200" t="s">
        <v>108</v>
      </c>
      <c r="B22" s="201"/>
      <c r="C22" s="201"/>
      <c r="D22" s="201"/>
      <c r="E22" s="201"/>
      <c r="F22" s="211" t="s">
        <v>109</v>
      </c>
      <c r="G22" s="211"/>
      <c r="H22" s="211"/>
      <c r="I22" s="211"/>
      <c r="J22" s="198"/>
      <c r="K22" s="199"/>
      <c r="L22" s="238">
        <f>J22*4.34</f>
        <v>0</v>
      </c>
      <c r="M22" s="239"/>
      <c r="N22" s="200" t="s">
        <v>110</v>
      </c>
      <c r="O22" s="201"/>
      <c r="P22" s="201"/>
      <c r="Q22" s="201"/>
      <c r="R22" s="201"/>
      <c r="S22" s="201" t="s">
        <v>111</v>
      </c>
      <c r="T22" s="201"/>
      <c r="U22" s="201"/>
      <c r="V22" s="201"/>
      <c r="W22" s="198"/>
      <c r="X22" s="199"/>
      <c r="Y22" s="238">
        <f>W22*4.8</f>
        <v>0</v>
      </c>
      <c r="Z22" s="239"/>
      <c r="AA22" s="269"/>
      <c r="AB22" s="270"/>
      <c r="AC22" s="270"/>
      <c r="AD22" s="270"/>
      <c r="AE22" s="39"/>
      <c r="AF22" s="209"/>
      <c r="AG22" s="209"/>
      <c r="AH22" s="209"/>
      <c r="AI22" s="209"/>
      <c r="AJ22" s="198"/>
      <c r="AK22" s="199"/>
      <c r="AL22" s="196"/>
      <c r="AM22" s="197"/>
      <c r="AN22" s="200" t="s">
        <v>62</v>
      </c>
      <c r="AO22" s="201"/>
      <c r="AP22" s="201"/>
      <c r="AQ22" s="201"/>
      <c r="AR22" s="201"/>
      <c r="AS22" s="201" t="s">
        <v>112</v>
      </c>
      <c r="AT22" s="201"/>
      <c r="AU22" s="201"/>
      <c r="AV22" s="201"/>
      <c r="AW22" s="198"/>
      <c r="AX22" s="199"/>
      <c r="AY22" s="194">
        <f>AW22*1.09</f>
        <v>0</v>
      </c>
      <c r="AZ22" s="195"/>
      <c r="BA22" s="208"/>
      <c r="BB22" s="209"/>
      <c r="BC22" s="209"/>
      <c r="BD22" s="209"/>
      <c r="BE22" s="209"/>
      <c r="BF22" s="209"/>
      <c r="BG22" s="209"/>
      <c r="BH22" s="209"/>
      <c r="BI22" s="209"/>
      <c r="BJ22" s="198"/>
      <c r="BK22" s="199"/>
      <c r="BL22" s="196"/>
      <c r="BM22" s="197"/>
      <c r="BO22" s="2"/>
      <c r="BP22" s="20"/>
      <c r="BQ22" s="20"/>
    </row>
    <row r="23" spans="1:69" ht="20.100000000000001" customHeight="1">
      <c r="A23" s="200" t="s">
        <v>113</v>
      </c>
      <c r="B23" s="201"/>
      <c r="C23" s="201"/>
      <c r="D23" s="201"/>
      <c r="E23" s="201"/>
      <c r="F23" s="211" t="s">
        <v>114</v>
      </c>
      <c r="G23" s="211"/>
      <c r="H23" s="211"/>
      <c r="I23" s="211"/>
      <c r="J23" s="198"/>
      <c r="K23" s="199"/>
      <c r="L23" s="238">
        <f>J23*14.8</f>
        <v>0</v>
      </c>
      <c r="M23" s="239"/>
      <c r="N23" s="208"/>
      <c r="O23" s="209"/>
      <c r="P23" s="209"/>
      <c r="Q23" s="209"/>
      <c r="R23" s="209"/>
      <c r="S23" s="209"/>
      <c r="T23" s="209"/>
      <c r="U23" s="209"/>
      <c r="V23" s="209"/>
      <c r="W23" s="198"/>
      <c r="X23" s="199"/>
      <c r="Y23" s="196"/>
      <c r="Z23" s="197"/>
      <c r="AA23" s="269"/>
      <c r="AB23" s="270"/>
      <c r="AC23" s="270"/>
      <c r="AD23" s="270"/>
      <c r="AE23" s="39"/>
      <c r="AF23" s="209"/>
      <c r="AG23" s="209"/>
      <c r="AH23" s="209"/>
      <c r="AI23" s="209"/>
      <c r="AJ23" s="198"/>
      <c r="AK23" s="199"/>
      <c r="AL23" s="196"/>
      <c r="AM23" s="197"/>
      <c r="AN23" s="208"/>
      <c r="AO23" s="209"/>
      <c r="AP23" s="209"/>
      <c r="AQ23" s="209"/>
      <c r="AR23" s="209"/>
      <c r="AS23" s="209"/>
      <c r="AT23" s="209"/>
      <c r="AU23" s="209"/>
      <c r="AV23" s="209"/>
      <c r="AW23" s="198"/>
      <c r="AX23" s="199"/>
      <c r="AY23" s="212"/>
      <c r="AZ23" s="213"/>
      <c r="BA23" s="208"/>
      <c r="BB23" s="209"/>
      <c r="BC23" s="209"/>
      <c r="BD23" s="209"/>
      <c r="BE23" s="209"/>
      <c r="BF23" s="209"/>
      <c r="BG23" s="209"/>
      <c r="BH23" s="209"/>
      <c r="BI23" s="209"/>
      <c r="BJ23" s="198"/>
      <c r="BK23" s="199"/>
      <c r="BL23" s="196"/>
      <c r="BM23" s="197"/>
      <c r="BO23" s="2"/>
      <c r="BP23" s="20"/>
      <c r="BQ23" s="20"/>
    </row>
    <row r="24" spans="1:69" ht="20.100000000000001" customHeight="1">
      <c r="A24" s="200" t="s">
        <v>315</v>
      </c>
      <c r="B24" s="201"/>
      <c r="C24" s="201"/>
      <c r="D24" s="201"/>
      <c r="E24" s="201"/>
      <c r="F24" s="211" t="s">
        <v>316</v>
      </c>
      <c r="G24" s="211"/>
      <c r="H24" s="211"/>
      <c r="I24" s="211"/>
      <c r="J24" s="198"/>
      <c r="K24" s="199"/>
      <c r="L24" s="238">
        <f>J24*17.5</f>
        <v>0</v>
      </c>
      <c r="M24" s="239"/>
      <c r="N24" s="208"/>
      <c r="O24" s="209"/>
      <c r="P24" s="209"/>
      <c r="Q24" s="209"/>
      <c r="R24" s="209"/>
      <c r="S24" s="209"/>
      <c r="T24" s="209"/>
      <c r="U24" s="209"/>
      <c r="V24" s="209"/>
      <c r="W24" s="198"/>
      <c r="X24" s="199"/>
      <c r="Y24" s="196"/>
      <c r="Z24" s="197"/>
      <c r="AA24" s="200" t="s">
        <v>296</v>
      </c>
      <c r="AB24" s="201"/>
      <c r="AC24" s="201"/>
      <c r="AD24" s="201"/>
      <c r="AE24" s="201"/>
      <c r="AF24" s="202" t="s">
        <v>297</v>
      </c>
      <c r="AG24" s="203"/>
      <c r="AH24" s="203"/>
      <c r="AI24" s="204"/>
      <c r="AJ24" s="198"/>
      <c r="AK24" s="199"/>
      <c r="AL24" s="238">
        <f>AJ24*6</f>
        <v>0</v>
      </c>
      <c r="AM24" s="239"/>
      <c r="AN24" s="200" t="s">
        <v>117</v>
      </c>
      <c r="AO24" s="201"/>
      <c r="AP24" s="201"/>
      <c r="AQ24" s="201"/>
      <c r="AR24" s="201"/>
      <c r="AS24" s="201"/>
      <c r="AT24" s="201"/>
      <c r="AU24" s="201"/>
      <c r="AV24" s="201"/>
      <c r="AW24" s="198"/>
      <c r="AX24" s="199"/>
      <c r="AY24" s="194">
        <f>AW24*4.06</f>
        <v>0</v>
      </c>
      <c r="AZ24" s="195"/>
      <c r="BA24" s="208"/>
      <c r="BB24" s="209"/>
      <c r="BC24" s="209"/>
      <c r="BD24" s="209"/>
      <c r="BE24" s="209"/>
      <c r="BF24" s="209"/>
      <c r="BG24" s="209"/>
      <c r="BH24" s="209"/>
      <c r="BI24" s="209"/>
      <c r="BJ24" s="198"/>
      <c r="BK24" s="199"/>
      <c r="BL24" s="196"/>
      <c r="BM24" s="197"/>
      <c r="BO24" s="2"/>
      <c r="BP24" s="20"/>
      <c r="BQ24" s="20"/>
    </row>
    <row r="25" spans="1:69" ht="20.100000000000001" customHeight="1">
      <c r="A25" s="200" t="s">
        <v>118</v>
      </c>
      <c r="B25" s="201"/>
      <c r="C25" s="201"/>
      <c r="D25" s="201"/>
      <c r="E25" s="201"/>
      <c r="F25" s="211" t="s">
        <v>119</v>
      </c>
      <c r="G25" s="211"/>
      <c r="H25" s="211"/>
      <c r="I25" s="211"/>
      <c r="J25" s="198"/>
      <c r="K25" s="199"/>
      <c r="L25" s="238">
        <f>J25*4.17</f>
        <v>0</v>
      </c>
      <c r="M25" s="239"/>
      <c r="N25" s="254" t="s">
        <v>317</v>
      </c>
      <c r="O25" s="251"/>
      <c r="P25" s="251"/>
      <c r="Q25" s="251"/>
      <c r="R25" s="252"/>
      <c r="S25" s="259">
        <v>1829</v>
      </c>
      <c r="T25" s="259"/>
      <c r="U25" s="259"/>
      <c r="V25" s="259"/>
      <c r="W25" s="198"/>
      <c r="X25" s="199"/>
      <c r="Y25" s="255">
        <f>W25*2.25</f>
        <v>0</v>
      </c>
      <c r="Z25" s="256"/>
      <c r="AA25" s="253" t="s">
        <v>296</v>
      </c>
      <c r="AB25" s="203"/>
      <c r="AC25" s="203"/>
      <c r="AD25" s="203"/>
      <c r="AE25" s="204"/>
      <c r="AF25" s="201" t="s">
        <v>298</v>
      </c>
      <c r="AG25" s="201"/>
      <c r="AH25" s="201"/>
      <c r="AI25" s="201"/>
      <c r="AJ25" s="198"/>
      <c r="AK25" s="199"/>
      <c r="AL25" s="238">
        <f>AJ25*5.2</f>
        <v>0</v>
      </c>
      <c r="AM25" s="239"/>
      <c r="AN25" s="306"/>
      <c r="AO25" s="304"/>
      <c r="AP25" s="304"/>
      <c r="AQ25" s="304"/>
      <c r="AR25" s="305"/>
      <c r="AS25" s="303"/>
      <c r="AT25" s="304"/>
      <c r="AU25" s="304"/>
      <c r="AV25" s="305"/>
      <c r="AW25" s="198"/>
      <c r="AX25" s="199"/>
      <c r="AY25" s="212"/>
      <c r="AZ25" s="213"/>
      <c r="BA25" s="208"/>
      <c r="BB25" s="209"/>
      <c r="BC25" s="209"/>
      <c r="BD25" s="209"/>
      <c r="BE25" s="209"/>
      <c r="BF25" s="209"/>
      <c r="BG25" s="209"/>
      <c r="BH25" s="209"/>
      <c r="BI25" s="209"/>
      <c r="BJ25" s="198"/>
      <c r="BK25" s="199"/>
      <c r="BL25" s="196"/>
      <c r="BM25" s="197"/>
      <c r="BO25" s="2"/>
      <c r="BP25" s="20"/>
      <c r="BQ25" s="20"/>
    </row>
    <row r="26" spans="1:69" ht="20.100000000000001" customHeight="1">
      <c r="A26" s="200" t="s">
        <v>121</v>
      </c>
      <c r="B26" s="201"/>
      <c r="C26" s="201"/>
      <c r="D26" s="201"/>
      <c r="E26" s="201"/>
      <c r="F26" s="211" t="s">
        <v>122</v>
      </c>
      <c r="G26" s="211"/>
      <c r="H26" s="211"/>
      <c r="I26" s="211"/>
      <c r="J26" s="198"/>
      <c r="K26" s="199"/>
      <c r="L26" s="238">
        <f>J26*3.71</f>
        <v>0</v>
      </c>
      <c r="M26" s="239"/>
      <c r="N26" s="254" t="s">
        <v>318</v>
      </c>
      <c r="O26" s="251"/>
      <c r="P26" s="251"/>
      <c r="Q26" s="251"/>
      <c r="R26" s="252"/>
      <c r="S26" s="259">
        <v>1524</v>
      </c>
      <c r="T26" s="259"/>
      <c r="U26" s="259"/>
      <c r="V26" s="259"/>
      <c r="W26" s="198"/>
      <c r="X26" s="199"/>
      <c r="Y26" s="255">
        <f>W26*1.89</f>
        <v>0</v>
      </c>
      <c r="Z26" s="256"/>
      <c r="AA26" s="253" t="s">
        <v>296</v>
      </c>
      <c r="AB26" s="203"/>
      <c r="AC26" s="203"/>
      <c r="AD26" s="203"/>
      <c r="AE26" s="204"/>
      <c r="AF26" s="201" t="s">
        <v>300</v>
      </c>
      <c r="AG26" s="201"/>
      <c r="AH26" s="201"/>
      <c r="AI26" s="201"/>
      <c r="AJ26" s="198"/>
      <c r="AK26" s="199"/>
      <c r="AL26" s="238">
        <f>AJ26*4.4</f>
        <v>0</v>
      </c>
      <c r="AM26" s="239"/>
      <c r="AN26" s="156" t="s">
        <v>325</v>
      </c>
      <c r="AO26" s="157"/>
      <c r="AP26" s="157"/>
      <c r="AQ26" s="157"/>
      <c r="AR26" s="158"/>
      <c r="AS26" s="202" t="s">
        <v>345</v>
      </c>
      <c r="AT26" s="203"/>
      <c r="AU26" s="203"/>
      <c r="AV26" s="204"/>
      <c r="AW26" s="198"/>
      <c r="AX26" s="199"/>
      <c r="AY26" s="194">
        <f>AW26*3.9</f>
        <v>0</v>
      </c>
      <c r="AZ26" s="195"/>
      <c r="BA26" s="208"/>
      <c r="BB26" s="209"/>
      <c r="BC26" s="209"/>
      <c r="BD26" s="209"/>
      <c r="BE26" s="209"/>
      <c r="BF26" s="209"/>
      <c r="BG26" s="209"/>
      <c r="BH26" s="209"/>
      <c r="BI26" s="209"/>
      <c r="BJ26" s="198"/>
      <c r="BK26" s="199"/>
      <c r="BL26" s="196"/>
      <c r="BM26" s="197"/>
      <c r="BO26" s="2"/>
      <c r="BP26" s="20"/>
      <c r="BQ26" s="20"/>
    </row>
    <row r="27" spans="1:69" ht="20.100000000000001" customHeight="1">
      <c r="A27" s="200" t="s">
        <v>125</v>
      </c>
      <c r="B27" s="201"/>
      <c r="C27" s="201"/>
      <c r="D27" s="201"/>
      <c r="E27" s="201"/>
      <c r="F27" s="211" t="s">
        <v>126</v>
      </c>
      <c r="G27" s="211"/>
      <c r="H27" s="211"/>
      <c r="I27" s="211"/>
      <c r="J27" s="198"/>
      <c r="K27" s="199"/>
      <c r="L27" s="238">
        <f>J27*3.29</f>
        <v>0</v>
      </c>
      <c r="M27" s="239"/>
      <c r="N27" s="254" t="s">
        <v>319</v>
      </c>
      <c r="O27" s="251"/>
      <c r="P27" s="251"/>
      <c r="Q27" s="251"/>
      <c r="R27" s="252"/>
      <c r="S27" s="259">
        <v>1219</v>
      </c>
      <c r="T27" s="259"/>
      <c r="U27" s="259"/>
      <c r="V27" s="259"/>
      <c r="W27" s="198"/>
      <c r="X27" s="199"/>
      <c r="Y27" s="255">
        <f>W27*1.53</f>
        <v>0</v>
      </c>
      <c r="Z27" s="256"/>
      <c r="AA27" s="253" t="s">
        <v>296</v>
      </c>
      <c r="AB27" s="203"/>
      <c r="AC27" s="203"/>
      <c r="AD27" s="203"/>
      <c r="AE27" s="204"/>
      <c r="AF27" s="201" t="s">
        <v>301</v>
      </c>
      <c r="AG27" s="201"/>
      <c r="AH27" s="201"/>
      <c r="AI27" s="201"/>
      <c r="AJ27" s="198"/>
      <c r="AK27" s="199"/>
      <c r="AL27" s="238">
        <f>AJ27*3.6</f>
        <v>0</v>
      </c>
      <c r="AM27" s="239"/>
      <c r="AN27" s="156" t="s">
        <v>325</v>
      </c>
      <c r="AO27" s="157"/>
      <c r="AP27" s="157"/>
      <c r="AQ27" s="157"/>
      <c r="AR27" s="158"/>
      <c r="AS27" s="202" t="s">
        <v>346</v>
      </c>
      <c r="AT27" s="203"/>
      <c r="AU27" s="203"/>
      <c r="AV27" s="204"/>
      <c r="AW27" s="198"/>
      <c r="AX27" s="199"/>
      <c r="AY27" s="194">
        <f>AW27*5.1</f>
        <v>0</v>
      </c>
      <c r="AZ27" s="195"/>
      <c r="BA27" s="210" t="s">
        <v>306</v>
      </c>
      <c r="BB27" s="211"/>
      <c r="BC27" s="211"/>
      <c r="BD27" s="211"/>
      <c r="BE27" s="211"/>
      <c r="BF27" s="201" t="s">
        <v>309</v>
      </c>
      <c r="BG27" s="201"/>
      <c r="BH27" s="201"/>
      <c r="BI27" s="201"/>
      <c r="BJ27" s="198"/>
      <c r="BK27" s="199"/>
      <c r="BL27" s="238">
        <f>BJ27*19</f>
        <v>0</v>
      </c>
      <c r="BM27" s="239"/>
      <c r="BO27" s="2"/>
      <c r="BP27" s="20"/>
      <c r="BQ27" s="20"/>
    </row>
    <row r="28" spans="1:69" ht="20.100000000000001" customHeight="1">
      <c r="A28" s="200" t="s">
        <v>129</v>
      </c>
      <c r="B28" s="201"/>
      <c r="C28" s="201"/>
      <c r="D28" s="201"/>
      <c r="E28" s="201"/>
      <c r="F28" s="201" t="s">
        <v>130</v>
      </c>
      <c r="G28" s="201"/>
      <c r="H28" s="201"/>
      <c r="I28" s="201"/>
      <c r="J28" s="198"/>
      <c r="K28" s="199"/>
      <c r="L28" s="238">
        <f>J28*2.92</f>
        <v>0</v>
      </c>
      <c r="M28" s="239"/>
      <c r="N28" s="254" t="s">
        <v>320</v>
      </c>
      <c r="O28" s="251"/>
      <c r="P28" s="251"/>
      <c r="Q28" s="251"/>
      <c r="R28" s="252"/>
      <c r="S28" s="259">
        <v>914</v>
      </c>
      <c r="T28" s="259"/>
      <c r="U28" s="259"/>
      <c r="V28" s="259"/>
      <c r="W28" s="198"/>
      <c r="X28" s="199"/>
      <c r="Y28" s="265">
        <f>W28*1.16</f>
        <v>0</v>
      </c>
      <c r="Z28" s="266"/>
      <c r="AA28" s="200" t="s">
        <v>296</v>
      </c>
      <c r="AB28" s="201"/>
      <c r="AC28" s="201"/>
      <c r="AD28" s="201"/>
      <c r="AE28" s="201"/>
      <c r="AF28" s="201" t="s">
        <v>302</v>
      </c>
      <c r="AG28" s="201"/>
      <c r="AH28" s="201"/>
      <c r="AI28" s="201"/>
      <c r="AJ28" s="198"/>
      <c r="AK28" s="199"/>
      <c r="AL28" s="238">
        <f>AJ28*2.8</f>
        <v>0</v>
      </c>
      <c r="AM28" s="239"/>
      <c r="AN28" s="156" t="s">
        <v>325</v>
      </c>
      <c r="AO28" s="157"/>
      <c r="AP28" s="157"/>
      <c r="AQ28" s="157"/>
      <c r="AR28" s="158"/>
      <c r="AS28" s="202" t="s">
        <v>347</v>
      </c>
      <c r="AT28" s="203"/>
      <c r="AU28" s="203"/>
      <c r="AV28" s="204"/>
      <c r="AW28" s="198"/>
      <c r="AX28" s="199"/>
      <c r="AY28" s="194">
        <f>AW28*6.7</f>
        <v>0</v>
      </c>
      <c r="AZ28" s="195"/>
      <c r="BA28" s="210" t="s">
        <v>307</v>
      </c>
      <c r="BB28" s="211"/>
      <c r="BC28" s="211"/>
      <c r="BD28" s="211"/>
      <c r="BE28" s="211"/>
      <c r="BF28" s="201" t="s">
        <v>310</v>
      </c>
      <c r="BG28" s="201"/>
      <c r="BH28" s="201"/>
      <c r="BI28" s="201"/>
      <c r="BJ28" s="198"/>
      <c r="BK28" s="199"/>
      <c r="BL28" s="238">
        <f>BJ28*25</f>
        <v>0</v>
      </c>
      <c r="BM28" s="239"/>
      <c r="BO28" s="2"/>
      <c r="BP28" s="20"/>
      <c r="BQ28" s="20"/>
    </row>
    <row r="29" spans="1:69" ht="20.100000000000001" customHeight="1">
      <c r="A29" s="200" t="s">
        <v>133</v>
      </c>
      <c r="B29" s="201"/>
      <c r="C29" s="201"/>
      <c r="D29" s="201"/>
      <c r="E29" s="201"/>
      <c r="F29" s="201" t="s">
        <v>134</v>
      </c>
      <c r="G29" s="201"/>
      <c r="H29" s="201"/>
      <c r="I29" s="201"/>
      <c r="J29" s="198"/>
      <c r="K29" s="199"/>
      <c r="L29" s="238">
        <f>J29*2.62</f>
        <v>0</v>
      </c>
      <c r="M29" s="239"/>
      <c r="N29" s="254" t="s">
        <v>321</v>
      </c>
      <c r="O29" s="251"/>
      <c r="P29" s="251"/>
      <c r="Q29" s="251"/>
      <c r="R29" s="252"/>
      <c r="S29" s="259">
        <v>610</v>
      </c>
      <c r="T29" s="259"/>
      <c r="U29" s="259"/>
      <c r="V29" s="259"/>
      <c r="W29" s="198"/>
      <c r="X29" s="199"/>
      <c r="Y29" s="255">
        <f>W29*0.8</f>
        <v>0</v>
      </c>
      <c r="Z29" s="256"/>
      <c r="AA29" s="200" t="s">
        <v>299</v>
      </c>
      <c r="AB29" s="201"/>
      <c r="AC29" s="201"/>
      <c r="AD29" s="201"/>
      <c r="AE29" s="201"/>
      <c r="AF29" s="201" t="s">
        <v>303</v>
      </c>
      <c r="AG29" s="201"/>
      <c r="AH29" s="201"/>
      <c r="AI29" s="201"/>
      <c r="AJ29" s="198"/>
      <c r="AK29" s="199"/>
      <c r="AL29" s="238">
        <f>AJ29*4</f>
        <v>0</v>
      </c>
      <c r="AM29" s="239"/>
      <c r="AN29" s="253" t="s">
        <v>326</v>
      </c>
      <c r="AO29" s="203"/>
      <c r="AP29" s="203"/>
      <c r="AQ29" s="203"/>
      <c r="AR29" s="204"/>
      <c r="AS29" s="202" t="s">
        <v>327</v>
      </c>
      <c r="AT29" s="203"/>
      <c r="AU29" s="203"/>
      <c r="AV29" s="204"/>
      <c r="AW29" s="198"/>
      <c r="AX29" s="199"/>
      <c r="AY29" s="194">
        <f>AW29*0.52</f>
        <v>0</v>
      </c>
      <c r="AZ29" s="195"/>
      <c r="BA29" s="210" t="s">
        <v>308</v>
      </c>
      <c r="BB29" s="211"/>
      <c r="BC29" s="211"/>
      <c r="BD29" s="211"/>
      <c r="BE29" s="211"/>
      <c r="BF29" s="201" t="s">
        <v>311</v>
      </c>
      <c r="BG29" s="201"/>
      <c r="BH29" s="201"/>
      <c r="BI29" s="201"/>
      <c r="BJ29" s="198"/>
      <c r="BK29" s="199"/>
      <c r="BL29" s="238">
        <f>BJ29*28</f>
        <v>0</v>
      </c>
      <c r="BM29" s="239"/>
      <c r="BO29" s="2"/>
      <c r="BP29" s="20"/>
      <c r="BQ29" s="20"/>
    </row>
    <row r="30" spans="1:69" ht="20.100000000000001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198"/>
      <c r="K30" s="199"/>
      <c r="L30" s="196"/>
      <c r="M30" s="197"/>
      <c r="N30" s="208"/>
      <c r="O30" s="209"/>
      <c r="P30" s="209"/>
      <c r="Q30" s="209"/>
      <c r="R30" s="209"/>
      <c r="S30" s="209"/>
      <c r="T30" s="209"/>
      <c r="U30" s="209"/>
      <c r="V30" s="209"/>
      <c r="W30" s="198"/>
      <c r="X30" s="199"/>
      <c r="Y30" s="267"/>
      <c r="Z30" s="268"/>
      <c r="AA30" s="200" t="s">
        <v>299</v>
      </c>
      <c r="AB30" s="201"/>
      <c r="AC30" s="201"/>
      <c r="AD30" s="201"/>
      <c r="AE30" s="201"/>
      <c r="AF30" s="201" t="s">
        <v>304</v>
      </c>
      <c r="AG30" s="201"/>
      <c r="AH30" s="201"/>
      <c r="AI30" s="201"/>
      <c r="AJ30" s="198"/>
      <c r="AK30" s="199"/>
      <c r="AL30" s="238">
        <f>AJ30*3.5</f>
        <v>0</v>
      </c>
      <c r="AM30" s="239"/>
      <c r="AN30" s="200"/>
      <c r="AO30" s="201"/>
      <c r="AP30" s="201"/>
      <c r="AQ30" s="201"/>
      <c r="AR30" s="201"/>
      <c r="AS30" s="409" t="s">
        <v>328</v>
      </c>
      <c r="AT30" s="410"/>
      <c r="AU30" s="410"/>
      <c r="AV30" s="410"/>
      <c r="AW30" s="410"/>
      <c r="AX30" s="411"/>
      <c r="AY30" s="165"/>
      <c r="AZ30" s="166"/>
      <c r="BA30" s="208"/>
      <c r="BB30" s="209"/>
      <c r="BC30" s="209"/>
      <c r="BD30" s="209"/>
      <c r="BE30" s="209"/>
      <c r="BF30" s="209"/>
      <c r="BG30" s="209"/>
      <c r="BH30" s="209"/>
      <c r="BI30" s="209"/>
      <c r="BJ30" s="198"/>
      <c r="BK30" s="199"/>
      <c r="BL30" s="196"/>
      <c r="BM30" s="197"/>
      <c r="BO30" s="2"/>
      <c r="BP30" s="20"/>
      <c r="BQ30" s="20"/>
    </row>
    <row r="31" spans="1:69" ht="20.100000000000001" customHeight="1" thickBot="1">
      <c r="A31" s="260"/>
      <c r="B31" s="219"/>
      <c r="C31" s="219"/>
      <c r="D31" s="219"/>
      <c r="E31" s="219"/>
      <c r="F31" s="219"/>
      <c r="G31" s="219"/>
      <c r="H31" s="219"/>
      <c r="I31" s="219"/>
      <c r="J31" s="225"/>
      <c r="K31" s="226"/>
      <c r="L31" s="261"/>
      <c r="M31" s="262"/>
      <c r="N31" s="260"/>
      <c r="O31" s="219"/>
      <c r="P31" s="219"/>
      <c r="Q31" s="219"/>
      <c r="R31" s="219"/>
      <c r="S31" s="219"/>
      <c r="T31" s="219"/>
      <c r="U31" s="219"/>
      <c r="V31" s="219"/>
      <c r="W31" s="225"/>
      <c r="X31" s="226"/>
      <c r="Y31" s="263"/>
      <c r="Z31" s="264"/>
      <c r="AA31" s="200" t="s">
        <v>299</v>
      </c>
      <c r="AB31" s="201"/>
      <c r="AC31" s="201"/>
      <c r="AD31" s="201"/>
      <c r="AE31" s="201"/>
      <c r="AF31" s="201" t="s">
        <v>305</v>
      </c>
      <c r="AG31" s="201"/>
      <c r="AH31" s="201"/>
      <c r="AI31" s="201"/>
      <c r="AJ31" s="198"/>
      <c r="AK31" s="199"/>
      <c r="AL31" s="238">
        <f>AJ31*3</f>
        <v>0</v>
      </c>
      <c r="AM31" s="239"/>
      <c r="AN31" s="208"/>
      <c r="AO31" s="209"/>
      <c r="AP31" s="209"/>
      <c r="AQ31" s="209"/>
      <c r="AR31" s="209"/>
      <c r="AS31" s="209"/>
      <c r="AT31" s="209"/>
      <c r="AU31" s="209"/>
      <c r="AV31" s="209"/>
      <c r="AW31" s="198"/>
      <c r="AX31" s="199"/>
      <c r="AY31" s="212"/>
      <c r="AZ31" s="213"/>
      <c r="BA31" s="260"/>
      <c r="BB31" s="219"/>
      <c r="BC31" s="219"/>
      <c r="BD31" s="219"/>
      <c r="BE31" s="219"/>
      <c r="BF31" s="219"/>
      <c r="BG31" s="219"/>
      <c r="BH31" s="219"/>
      <c r="BI31" s="219"/>
      <c r="BJ31" s="225"/>
      <c r="BK31" s="226"/>
      <c r="BL31" s="261"/>
      <c r="BM31" s="262"/>
      <c r="BO31" s="2"/>
      <c r="BP31" s="20"/>
      <c r="BQ31" s="20"/>
    </row>
    <row r="32" spans="1:69" ht="20.100000000000001" customHeight="1" thickBot="1">
      <c r="A32" s="220"/>
      <c r="B32" s="221"/>
      <c r="C32" s="221"/>
      <c r="D32" s="221"/>
      <c r="E32" s="221"/>
      <c r="F32" s="221"/>
      <c r="G32" s="221"/>
      <c r="H32" s="221"/>
      <c r="I32" s="221"/>
      <c r="J32" s="222">
        <f>SUM(L5:L31)</f>
        <v>0</v>
      </c>
      <c r="K32" s="223"/>
      <c r="L32" s="223"/>
      <c r="M32" s="224"/>
      <c r="N32" s="220"/>
      <c r="O32" s="221"/>
      <c r="P32" s="221"/>
      <c r="Q32" s="221"/>
      <c r="R32" s="221"/>
      <c r="S32" s="221"/>
      <c r="T32" s="221"/>
      <c r="U32" s="221"/>
      <c r="V32" s="221"/>
      <c r="W32" s="222">
        <f>SUM(Y5:Z31)</f>
        <v>0</v>
      </c>
      <c r="X32" s="223"/>
      <c r="Y32" s="223"/>
      <c r="Z32" s="224"/>
      <c r="AA32" s="220"/>
      <c r="AB32" s="221"/>
      <c r="AC32" s="221"/>
      <c r="AD32" s="221"/>
      <c r="AE32" s="221"/>
      <c r="AF32" s="221"/>
      <c r="AG32" s="221"/>
      <c r="AH32" s="221"/>
      <c r="AI32" s="221"/>
      <c r="AJ32" s="222">
        <f>SUM(AL5:AM31)</f>
        <v>0</v>
      </c>
      <c r="AK32" s="223"/>
      <c r="AL32" s="223"/>
      <c r="AM32" s="224"/>
      <c r="AN32" s="220"/>
      <c r="AO32" s="221"/>
      <c r="AP32" s="221"/>
      <c r="AQ32" s="221"/>
      <c r="AR32" s="221"/>
      <c r="AS32" s="221"/>
      <c r="AT32" s="221"/>
      <c r="AU32" s="221"/>
      <c r="AV32" s="221"/>
      <c r="AW32" s="222">
        <f>SUM(AY5:AZ31)</f>
        <v>0</v>
      </c>
      <c r="AX32" s="223"/>
      <c r="AY32" s="223"/>
      <c r="AZ32" s="224"/>
      <c r="BA32" s="292"/>
      <c r="BB32" s="291"/>
      <c r="BC32" s="291"/>
      <c r="BD32" s="291"/>
      <c r="BE32" s="291"/>
      <c r="BF32" s="291"/>
      <c r="BG32" s="291"/>
      <c r="BH32" s="291"/>
      <c r="BI32" s="242"/>
      <c r="BJ32" s="222">
        <f>SUM(BL5:BM31)</f>
        <v>0</v>
      </c>
      <c r="BK32" s="223"/>
      <c r="BL32" s="223"/>
      <c r="BM32" s="224"/>
      <c r="BO32" s="2"/>
      <c r="BP32" s="20"/>
      <c r="BQ32" s="21"/>
    </row>
    <row r="33" spans="1:68" ht="19.5" customHeight="1" thickBot="1">
      <c r="BG33" s="394">
        <f>SUM(J32:BJ32)</f>
        <v>0</v>
      </c>
      <c r="BH33" s="395"/>
      <c r="BI33" s="395"/>
      <c r="BJ33" s="395"/>
      <c r="BK33" s="395"/>
      <c r="BL33" s="395"/>
      <c r="BM33" s="396"/>
      <c r="BO33" s="2"/>
      <c r="BP33" s="2"/>
    </row>
    <row r="34" spans="1:68">
      <c r="AG34" s="22"/>
      <c r="AH34" s="22"/>
      <c r="BO34" s="2"/>
      <c r="BP34" s="2"/>
    </row>
    <row r="35" spans="1:68">
      <c r="AG35" s="3"/>
      <c r="AH35" s="3"/>
    </row>
    <row r="36" spans="1:68" ht="31.5" customHeight="1" thickBot="1">
      <c r="AG36" s="3"/>
      <c r="AH36" s="3"/>
    </row>
    <row r="37" spans="1:68" ht="20.100000000000001" customHeight="1" thickBot="1">
      <c r="A37" s="292" t="s">
        <v>15</v>
      </c>
      <c r="B37" s="291"/>
      <c r="C37" s="291"/>
      <c r="D37" s="291"/>
      <c r="E37" s="291"/>
      <c r="F37" s="291"/>
      <c r="G37" s="245"/>
      <c r="H37" s="241" t="s">
        <v>171</v>
      </c>
      <c r="I37" s="291"/>
      <c r="J37" s="291"/>
      <c r="K37" s="245"/>
      <c r="L37" s="241" t="s">
        <v>172</v>
      </c>
      <c r="M37" s="291"/>
      <c r="N37" s="245"/>
      <c r="O37" s="241" t="s">
        <v>173</v>
      </c>
      <c r="P37" s="245"/>
      <c r="Q37" s="387" t="s">
        <v>174</v>
      </c>
      <c r="R37" s="388"/>
      <c r="S37" s="388"/>
      <c r="T37" s="388"/>
      <c r="U37" s="388"/>
      <c r="V37" s="388"/>
      <c r="W37" s="389"/>
      <c r="X37" s="241" t="s">
        <v>176</v>
      </c>
      <c r="Y37" s="291"/>
      <c r="Z37" s="291"/>
      <c r="AA37" s="245"/>
      <c r="AB37" s="307" t="s">
        <v>172</v>
      </c>
      <c r="AC37" s="308"/>
      <c r="AD37" s="312" t="s">
        <v>173</v>
      </c>
      <c r="AE37" s="312"/>
      <c r="AF37" s="308"/>
      <c r="AG37" s="387" t="s">
        <v>174</v>
      </c>
      <c r="AH37" s="388"/>
      <c r="AI37" s="388"/>
      <c r="AJ37" s="388"/>
      <c r="AK37" s="388"/>
      <c r="AL37" s="388"/>
      <c r="AM37" s="389"/>
      <c r="AN37" s="241" t="s">
        <v>171</v>
      </c>
      <c r="AO37" s="291"/>
      <c r="AP37" s="291"/>
      <c r="AQ37" s="245"/>
      <c r="AR37" s="307" t="s">
        <v>172</v>
      </c>
      <c r="AS37" s="308"/>
      <c r="AT37" s="312" t="s">
        <v>173</v>
      </c>
      <c r="AU37" s="312"/>
      <c r="AV37" s="308"/>
      <c r="AW37" s="387" t="s">
        <v>174</v>
      </c>
      <c r="AX37" s="388"/>
      <c r="AY37" s="388"/>
      <c r="AZ37" s="388"/>
      <c r="BA37" s="388"/>
      <c r="BB37" s="388"/>
      <c r="BC37" s="389"/>
      <c r="BD37" s="241" t="s">
        <v>171</v>
      </c>
      <c r="BE37" s="291"/>
      <c r="BF37" s="291"/>
      <c r="BG37" s="245"/>
      <c r="BH37" s="307" t="s">
        <v>172</v>
      </c>
      <c r="BI37" s="312"/>
      <c r="BJ37" s="308"/>
      <c r="BK37" s="312" t="s">
        <v>173</v>
      </c>
      <c r="BL37" s="312"/>
      <c r="BM37" s="400"/>
      <c r="BN37" s="18"/>
      <c r="BO37" s="18"/>
      <c r="BP37" s="20"/>
    </row>
    <row r="38" spans="1:68" ht="20.100000000000001" customHeight="1">
      <c r="A38" s="403" t="s">
        <v>178</v>
      </c>
      <c r="B38" s="404"/>
      <c r="C38" s="404"/>
      <c r="D38" s="404"/>
      <c r="E38" s="404"/>
      <c r="F38" s="404"/>
      <c r="G38" s="405"/>
      <c r="H38" s="406" t="s">
        <v>145</v>
      </c>
      <c r="I38" s="407"/>
      <c r="J38" s="407"/>
      <c r="K38" s="408"/>
      <c r="L38" s="217"/>
      <c r="M38" s="384"/>
      <c r="N38" s="218"/>
      <c r="O38" s="385">
        <f>L38*4.7</f>
        <v>0</v>
      </c>
      <c r="P38" s="386"/>
      <c r="Q38" s="297" t="s">
        <v>188</v>
      </c>
      <c r="R38" s="298"/>
      <c r="S38" s="298"/>
      <c r="T38" s="298"/>
      <c r="U38" s="298"/>
      <c r="V38" s="298"/>
      <c r="W38" s="299"/>
      <c r="X38" s="334" t="s">
        <v>145</v>
      </c>
      <c r="Y38" s="335"/>
      <c r="Z38" s="335"/>
      <c r="AA38" s="336"/>
      <c r="AB38" s="217"/>
      <c r="AC38" s="218"/>
      <c r="AD38" s="390">
        <f>AB38*4.7</f>
        <v>0</v>
      </c>
      <c r="AE38" s="293"/>
      <c r="AF38" s="294"/>
      <c r="AG38" s="403" t="s">
        <v>141</v>
      </c>
      <c r="AH38" s="404"/>
      <c r="AI38" s="404"/>
      <c r="AJ38" s="404"/>
      <c r="AK38" s="404"/>
      <c r="AL38" s="404"/>
      <c r="AM38" s="405"/>
      <c r="AN38" s="214" t="s">
        <v>159</v>
      </c>
      <c r="AO38" s="215"/>
      <c r="AP38" s="215"/>
      <c r="AQ38" s="216"/>
      <c r="AR38" s="217"/>
      <c r="AS38" s="218"/>
      <c r="AT38" s="293">
        <f>AR38*3.6</f>
        <v>0</v>
      </c>
      <c r="AU38" s="293"/>
      <c r="AV38" s="294"/>
      <c r="AW38" s="309" t="s">
        <v>385</v>
      </c>
      <c r="AX38" s="310"/>
      <c r="AY38" s="310"/>
      <c r="AZ38" s="310"/>
      <c r="BA38" s="310"/>
      <c r="BB38" s="310"/>
      <c r="BC38" s="311"/>
      <c r="BD38" s="323" t="s">
        <v>386</v>
      </c>
      <c r="BE38" s="324"/>
      <c r="BF38" s="324"/>
      <c r="BG38" s="325"/>
      <c r="BH38" s="295"/>
      <c r="BI38" s="326"/>
      <c r="BJ38" s="296"/>
      <c r="BK38" s="321">
        <f>BH38*1.42</f>
        <v>0</v>
      </c>
      <c r="BL38" s="321"/>
      <c r="BM38" s="322"/>
      <c r="BO38" s="2"/>
      <c r="BP38" s="20"/>
    </row>
    <row r="39" spans="1:68" ht="20.100000000000001" customHeight="1">
      <c r="A39" s="297" t="s">
        <v>178</v>
      </c>
      <c r="B39" s="298"/>
      <c r="C39" s="298"/>
      <c r="D39" s="298"/>
      <c r="E39" s="298"/>
      <c r="F39" s="298"/>
      <c r="G39" s="299"/>
      <c r="H39" s="334" t="s">
        <v>146</v>
      </c>
      <c r="I39" s="335"/>
      <c r="J39" s="335"/>
      <c r="K39" s="336"/>
      <c r="L39" s="295"/>
      <c r="M39" s="326"/>
      <c r="N39" s="296"/>
      <c r="O39" s="347">
        <f>L39*3.97</f>
        <v>0</v>
      </c>
      <c r="P39" s="348"/>
      <c r="Q39" s="297" t="s">
        <v>188</v>
      </c>
      <c r="R39" s="298"/>
      <c r="S39" s="298"/>
      <c r="T39" s="298"/>
      <c r="U39" s="298"/>
      <c r="V39" s="298"/>
      <c r="W39" s="299"/>
      <c r="X39" s="334" t="s">
        <v>146</v>
      </c>
      <c r="Y39" s="335"/>
      <c r="Z39" s="335"/>
      <c r="AA39" s="336"/>
      <c r="AB39" s="295"/>
      <c r="AC39" s="296"/>
      <c r="AD39" s="313">
        <f>AB39*3.97</f>
        <v>0</v>
      </c>
      <c r="AE39" s="313"/>
      <c r="AF39" s="314"/>
      <c r="AG39" s="297" t="s">
        <v>141</v>
      </c>
      <c r="AH39" s="298"/>
      <c r="AI39" s="298"/>
      <c r="AJ39" s="298"/>
      <c r="AK39" s="298"/>
      <c r="AL39" s="298"/>
      <c r="AM39" s="299"/>
      <c r="AN39" s="300" t="s">
        <v>175</v>
      </c>
      <c r="AO39" s="301"/>
      <c r="AP39" s="301"/>
      <c r="AQ39" s="302"/>
      <c r="AR39" s="295"/>
      <c r="AS39" s="296"/>
      <c r="AT39" s="313">
        <f>AR39*9.9</f>
        <v>0</v>
      </c>
      <c r="AU39" s="313"/>
      <c r="AV39" s="314"/>
      <c r="AW39" s="309"/>
      <c r="AX39" s="310"/>
      <c r="AY39" s="310"/>
      <c r="AZ39" s="310"/>
      <c r="BA39" s="310"/>
      <c r="BB39" s="310"/>
      <c r="BC39" s="311"/>
      <c r="BD39" s="323" t="s">
        <v>387</v>
      </c>
      <c r="BE39" s="324"/>
      <c r="BF39" s="324"/>
      <c r="BG39" s="325"/>
      <c r="BH39" s="295"/>
      <c r="BI39" s="326"/>
      <c r="BJ39" s="296"/>
      <c r="BK39" s="321">
        <f>BH39*1.72</f>
        <v>0</v>
      </c>
      <c r="BL39" s="321"/>
      <c r="BM39" s="322"/>
      <c r="BO39" s="2"/>
      <c r="BP39" s="20"/>
    </row>
    <row r="40" spans="1:68" ht="20.100000000000001" customHeight="1">
      <c r="A40" s="297" t="s">
        <v>178</v>
      </c>
      <c r="B40" s="298"/>
      <c r="C40" s="298"/>
      <c r="D40" s="298"/>
      <c r="E40" s="298"/>
      <c r="F40" s="298"/>
      <c r="G40" s="299"/>
      <c r="H40" s="334" t="s">
        <v>147</v>
      </c>
      <c r="I40" s="335"/>
      <c r="J40" s="335"/>
      <c r="K40" s="336"/>
      <c r="L40" s="295"/>
      <c r="M40" s="326"/>
      <c r="N40" s="296"/>
      <c r="O40" s="347">
        <f>L40*3.23</f>
        <v>0</v>
      </c>
      <c r="P40" s="348"/>
      <c r="Q40" s="297" t="s">
        <v>188</v>
      </c>
      <c r="R40" s="298"/>
      <c r="S40" s="298"/>
      <c r="T40" s="298"/>
      <c r="U40" s="298"/>
      <c r="V40" s="298"/>
      <c r="W40" s="299"/>
      <c r="X40" s="334" t="s">
        <v>147</v>
      </c>
      <c r="Y40" s="335"/>
      <c r="Z40" s="335"/>
      <c r="AA40" s="336"/>
      <c r="AB40" s="295"/>
      <c r="AC40" s="296"/>
      <c r="AD40" s="313">
        <f>AB40*3.23</f>
        <v>0</v>
      </c>
      <c r="AE40" s="313"/>
      <c r="AF40" s="314"/>
      <c r="AG40" s="297" t="s">
        <v>141</v>
      </c>
      <c r="AH40" s="298"/>
      <c r="AI40" s="298"/>
      <c r="AJ40" s="298"/>
      <c r="AK40" s="298"/>
      <c r="AL40" s="298"/>
      <c r="AM40" s="299"/>
      <c r="AN40" s="300" t="s">
        <v>160</v>
      </c>
      <c r="AO40" s="301"/>
      <c r="AP40" s="301"/>
      <c r="AQ40" s="302"/>
      <c r="AR40" s="295"/>
      <c r="AS40" s="296"/>
      <c r="AT40" s="313">
        <f>AR40*8.3</f>
        <v>0</v>
      </c>
      <c r="AU40" s="313"/>
      <c r="AV40" s="314"/>
      <c r="AW40" s="309"/>
      <c r="AX40" s="310"/>
      <c r="AY40" s="310"/>
      <c r="AZ40" s="310"/>
      <c r="BA40" s="310"/>
      <c r="BB40" s="310"/>
      <c r="BC40" s="311"/>
      <c r="BD40" s="323" t="s">
        <v>388</v>
      </c>
      <c r="BE40" s="324"/>
      <c r="BF40" s="324"/>
      <c r="BG40" s="325"/>
      <c r="BH40" s="295"/>
      <c r="BI40" s="326"/>
      <c r="BJ40" s="296"/>
      <c r="BK40" s="321">
        <f>BH40*2.04</f>
        <v>0</v>
      </c>
      <c r="BL40" s="321"/>
      <c r="BM40" s="322"/>
      <c r="BO40" s="2"/>
      <c r="BP40" s="20"/>
    </row>
    <row r="41" spans="1:68" ht="20.100000000000001" customHeight="1">
      <c r="A41" s="297" t="s">
        <v>178</v>
      </c>
      <c r="B41" s="298"/>
      <c r="C41" s="298"/>
      <c r="D41" s="298"/>
      <c r="E41" s="298"/>
      <c r="F41" s="298"/>
      <c r="G41" s="299"/>
      <c r="H41" s="334" t="s">
        <v>148</v>
      </c>
      <c r="I41" s="335"/>
      <c r="J41" s="335"/>
      <c r="K41" s="336"/>
      <c r="L41" s="295"/>
      <c r="M41" s="326"/>
      <c r="N41" s="296"/>
      <c r="O41" s="347">
        <f>L41*2.47</f>
        <v>0</v>
      </c>
      <c r="P41" s="348"/>
      <c r="Q41" s="297" t="s">
        <v>188</v>
      </c>
      <c r="R41" s="298"/>
      <c r="S41" s="298"/>
      <c r="T41" s="298"/>
      <c r="U41" s="298"/>
      <c r="V41" s="298"/>
      <c r="W41" s="299"/>
      <c r="X41" s="334" t="s">
        <v>148</v>
      </c>
      <c r="Y41" s="335"/>
      <c r="Z41" s="335"/>
      <c r="AA41" s="336"/>
      <c r="AB41" s="295"/>
      <c r="AC41" s="296"/>
      <c r="AD41" s="313">
        <f>AB41*2.47</f>
        <v>0</v>
      </c>
      <c r="AE41" s="313"/>
      <c r="AF41" s="314"/>
      <c r="AG41" s="297" t="s">
        <v>141</v>
      </c>
      <c r="AH41" s="298"/>
      <c r="AI41" s="298"/>
      <c r="AJ41" s="298"/>
      <c r="AK41" s="298"/>
      <c r="AL41" s="298"/>
      <c r="AM41" s="299"/>
      <c r="AN41" s="300" t="s">
        <v>384</v>
      </c>
      <c r="AO41" s="301"/>
      <c r="AP41" s="301"/>
      <c r="AQ41" s="302"/>
      <c r="AR41" s="295"/>
      <c r="AS41" s="296"/>
      <c r="AT41" s="313">
        <f>AR41*16</f>
        <v>0</v>
      </c>
      <c r="AU41" s="313"/>
      <c r="AV41" s="314"/>
      <c r="AW41" s="309"/>
      <c r="AX41" s="310"/>
      <c r="AY41" s="310"/>
      <c r="AZ41" s="310"/>
      <c r="BA41" s="310"/>
      <c r="BB41" s="310"/>
      <c r="BC41" s="311"/>
      <c r="BD41" s="323" t="s">
        <v>389</v>
      </c>
      <c r="BE41" s="324"/>
      <c r="BF41" s="324"/>
      <c r="BG41" s="325"/>
      <c r="BH41" s="295"/>
      <c r="BI41" s="326"/>
      <c r="BJ41" s="296"/>
      <c r="BK41" s="321">
        <f>BH41*2.38</f>
        <v>0</v>
      </c>
      <c r="BL41" s="321"/>
      <c r="BM41" s="322"/>
      <c r="BO41" s="2"/>
      <c r="BP41" s="20"/>
    </row>
    <row r="42" spans="1:68" ht="20.100000000000001" customHeight="1">
      <c r="A42" s="297" t="s">
        <v>178</v>
      </c>
      <c r="B42" s="298"/>
      <c r="C42" s="298"/>
      <c r="D42" s="298"/>
      <c r="E42" s="298"/>
      <c r="F42" s="298"/>
      <c r="G42" s="299"/>
      <c r="H42" s="334" t="s">
        <v>149</v>
      </c>
      <c r="I42" s="335"/>
      <c r="J42" s="335"/>
      <c r="K42" s="336"/>
      <c r="L42" s="295"/>
      <c r="M42" s="326"/>
      <c r="N42" s="296"/>
      <c r="O42" s="347">
        <f>L42*1.74</f>
        <v>0</v>
      </c>
      <c r="P42" s="348"/>
      <c r="Q42" s="297" t="s">
        <v>188</v>
      </c>
      <c r="R42" s="298"/>
      <c r="S42" s="298"/>
      <c r="T42" s="298"/>
      <c r="U42" s="298"/>
      <c r="V42" s="298"/>
      <c r="W42" s="299"/>
      <c r="X42" s="334" t="s">
        <v>149</v>
      </c>
      <c r="Y42" s="335"/>
      <c r="Z42" s="335"/>
      <c r="AA42" s="336"/>
      <c r="AB42" s="295"/>
      <c r="AC42" s="296"/>
      <c r="AD42" s="313">
        <f>AB42*1.74</f>
        <v>0</v>
      </c>
      <c r="AE42" s="313"/>
      <c r="AF42" s="314"/>
      <c r="AG42" s="297" t="s">
        <v>141</v>
      </c>
      <c r="AH42" s="298"/>
      <c r="AI42" s="298"/>
      <c r="AJ42" s="298"/>
      <c r="AK42" s="298"/>
      <c r="AL42" s="298"/>
      <c r="AM42" s="299"/>
      <c r="AN42" s="300" t="s">
        <v>342</v>
      </c>
      <c r="AO42" s="301"/>
      <c r="AP42" s="301"/>
      <c r="AQ42" s="302"/>
      <c r="AR42" s="295"/>
      <c r="AS42" s="296"/>
      <c r="AT42" s="313">
        <f>AR42*11</f>
        <v>0</v>
      </c>
      <c r="AU42" s="313"/>
      <c r="AV42" s="314"/>
      <c r="AW42" s="309"/>
      <c r="AX42" s="310"/>
      <c r="AY42" s="310"/>
      <c r="AZ42" s="310"/>
      <c r="BA42" s="310"/>
      <c r="BB42" s="310"/>
      <c r="BC42" s="311"/>
      <c r="BD42" s="323" t="s">
        <v>390</v>
      </c>
      <c r="BE42" s="324"/>
      <c r="BF42" s="324"/>
      <c r="BG42" s="325"/>
      <c r="BH42" s="295"/>
      <c r="BI42" s="326"/>
      <c r="BJ42" s="296"/>
      <c r="BK42" s="321">
        <f>BH42*2.83</f>
        <v>0</v>
      </c>
      <c r="BL42" s="321"/>
      <c r="BM42" s="322"/>
      <c r="BO42" s="2"/>
      <c r="BP42" s="20"/>
    </row>
    <row r="43" spans="1:68" ht="20.100000000000001" customHeight="1">
      <c r="A43" s="297" t="s">
        <v>178</v>
      </c>
      <c r="B43" s="298"/>
      <c r="C43" s="298"/>
      <c r="D43" s="298"/>
      <c r="E43" s="298"/>
      <c r="F43" s="298"/>
      <c r="G43" s="299"/>
      <c r="H43" s="334" t="s">
        <v>179</v>
      </c>
      <c r="I43" s="335"/>
      <c r="J43" s="335"/>
      <c r="K43" s="336"/>
      <c r="L43" s="295"/>
      <c r="M43" s="326"/>
      <c r="N43" s="296"/>
      <c r="O43" s="347">
        <f>L43*1.01</f>
        <v>0</v>
      </c>
      <c r="P43" s="348"/>
      <c r="Q43" s="297" t="s">
        <v>188</v>
      </c>
      <c r="R43" s="298"/>
      <c r="S43" s="298"/>
      <c r="T43" s="298"/>
      <c r="U43" s="298"/>
      <c r="V43" s="298"/>
      <c r="W43" s="299"/>
      <c r="X43" s="334" t="s">
        <v>179</v>
      </c>
      <c r="Y43" s="335"/>
      <c r="Z43" s="335"/>
      <c r="AA43" s="336"/>
      <c r="AB43" s="295"/>
      <c r="AC43" s="296"/>
      <c r="AD43" s="313">
        <f>AB43*1.01</f>
        <v>0</v>
      </c>
      <c r="AE43" s="313"/>
      <c r="AF43" s="314"/>
      <c r="AG43" s="315"/>
      <c r="AH43" s="316"/>
      <c r="AI43" s="316"/>
      <c r="AJ43" s="316"/>
      <c r="AK43" s="316"/>
      <c r="AL43" s="316"/>
      <c r="AM43" s="317"/>
      <c r="AN43" s="318"/>
      <c r="AO43" s="319"/>
      <c r="AP43" s="319"/>
      <c r="AQ43" s="320"/>
      <c r="AR43" s="295"/>
      <c r="AS43" s="296"/>
      <c r="AT43" s="327"/>
      <c r="AU43" s="327"/>
      <c r="AV43" s="328"/>
      <c r="AW43" s="309"/>
      <c r="AX43" s="310"/>
      <c r="AY43" s="310"/>
      <c r="AZ43" s="310"/>
      <c r="BA43" s="310"/>
      <c r="BB43" s="310"/>
      <c r="BC43" s="311"/>
      <c r="BD43" s="323" t="s">
        <v>391</v>
      </c>
      <c r="BE43" s="324"/>
      <c r="BF43" s="324"/>
      <c r="BG43" s="325"/>
      <c r="BH43" s="295"/>
      <c r="BI43" s="326"/>
      <c r="BJ43" s="296"/>
      <c r="BK43" s="321">
        <f>BH43*3.58</f>
        <v>0</v>
      </c>
      <c r="BL43" s="321"/>
      <c r="BM43" s="322"/>
      <c r="BO43" s="2"/>
      <c r="BP43" s="20"/>
    </row>
    <row r="44" spans="1:68" ht="20.100000000000001" customHeight="1">
      <c r="A44" s="297" t="s">
        <v>180</v>
      </c>
      <c r="B44" s="298"/>
      <c r="C44" s="298"/>
      <c r="D44" s="298"/>
      <c r="E44" s="298"/>
      <c r="F44" s="298"/>
      <c r="G44" s="299"/>
      <c r="H44" s="334" t="s">
        <v>181</v>
      </c>
      <c r="I44" s="335"/>
      <c r="J44" s="335"/>
      <c r="K44" s="336"/>
      <c r="L44" s="295"/>
      <c r="M44" s="326"/>
      <c r="N44" s="296"/>
      <c r="O44" s="347">
        <f>L44*4.87</f>
        <v>0</v>
      </c>
      <c r="P44" s="348"/>
      <c r="Q44" s="24" t="s">
        <v>189</v>
      </c>
      <c r="R44" s="25"/>
      <c r="S44" s="25"/>
      <c r="T44" s="25"/>
      <c r="U44" s="25"/>
      <c r="V44" s="25"/>
      <c r="W44" s="26"/>
      <c r="X44" s="334" t="s">
        <v>181</v>
      </c>
      <c r="Y44" s="335"/>
      <c r="Z44" s="335"/>
      <c r="AA44" s="336"/>
      <c r="AB44" s="295"/>
      <c r="AC44" s="296"/>
      <c r="AD44" s="313">
        <f>AB44*4.87</f>
        <v>0</v>
      </c>
      <c r="AE44" s="313"/>
      <c r="AF44" s="314"/>
      <c r="AG44" s="297" t="s">
        <v>142</v>
      </c>
      <c r="AH44" s="298"/>
      <c r="AI44" s="298"/>
      <c r="AJ44" s="298"/>
      <c r="AK44" s="298"/>
      <c r="AL44" s="298"/>
      <c r="AM44" s="299"/>
      <c r="AN44" s="300" t="s">
        <v>343</v>
      </c>
      <c r="AO44" s="301"/>
      <c r="AP44" s="301"/>
      <c r="AQ44" s="302"/>
      <c r="AR44" s="295"/>
      <c r="AS44" s="296"/>
      <c r="AT44" s="313">
        <f>AR44*3.6</f>
        <v>0</v>
      </c>
      <c r="AU44" s="313"/>
      <c r="AV44" s="314"/>
      <c r="AW44" s="309"/>
      <c r="AX44" s="310"/>
      <c r="AY44" s="310"/>
      <c r="AZ44" s="310"/>
      <c r="BA44" s="310"/>
      <c r="BB44" s="310"/>
      <c r="BC44" s="311"/>
      <c r="BD44" s="323" t="s">
        <v>392</v>
      </c>
      <c r="BE44" s="324"/>
      <c r="BF44" s="324"/>
      <c r="BG44" s="325"/>
      <c r="BH44" s="295"/>
      <c r="BI44" s="326"/>
      <c r="BJ44" s="296"/>
      <c r="BK44" s="321">
        <f>BH44*5.1</f>
        <v>0</v>
      </c>
      <c r="BL44" s="321"/>
      <c r="BM44" s="322"/>
      <c r="BO44" s="2"/>
      <c r="BP44" s="20"/>
    </row>
    <row r="45" spans="1:68" ht="20.100000000000001" customHeight="1">
      <c r="A45" s="297" t="s">
        <v>180</v>
      </c>
      <c r="B45" s="298"/>
      <c r="C45" s="298"/>
      <c r="D45" s="298"/>
      <c r="E45" s="298"/>
      <c r="F45" s="298"/>
      <c r="G45" s="299"/>
      <c r="H45" s="334" t="s">
        <v>182</v>
      </c>
      <c r="I45" s="335"/>
      <c r="J45" s="335"/>
      <c r="K45" s="336"/>
      <c r="L45" s="295"/>
      <c r="M45" s="326"/>
      <c r="N45" s="296"/>
      <c r="O45" s="347">
        <f>L45*3.3</f>
        <v>0</v>
      </c>
      <c r="P45" s="348"/>
      <c r="Q45" s="24" t="s">
        <v>189</v>
      </c>
      <c r="R45" s="25"/>
      <c r="S45" s="25"/>
      <c r="T45" s="25"/>
      <c r="U45" s="25"/>
      <c r="V45" s="25"/>
      <c r="W45" s="26"/>
      <c r="X45" s="334" t="s">
        <v>182</v>
      </c>
      <c r="Y45" s="335"/>
      <c r="Z45" s="335"/>
      <c r="AA45" s="336"/>
      <c r="AB45" s="295"/>
      <c r="AC45" s="296"/>
      <c r="AD45" s="313">
        <f>AB45*3.3</f>
        <v>0</v>
      </c>
      <c r="AE45" s="313"/>
      <c r="AF45" s="314"/>
      <c r="AG45" s="297" t="s">
        <v>142</v>
      </c>
      <c r="AH45" s="298"/>
      <c r="AI45" s="298"/>
      <c r="AJ45" s="298"/>
      <c r="AK45" s="298"/>
      <c r="AL45" s="298"/>
      <c r="AM45" s="299"/>
      <c r="AN45" s="300" t="s">
        <v>175</v>
      </c>
      <c r="AO45" s="301"/>
      <c r="AP45" s="301"/>
      <c r="AQ45" s="302"/>
      <c r="AR45" s="295"/>
      <c r="AS45" s="296"/>
      <c r="AT45" s="313">
        <f>AR45*9.9</f>
        <v>0</v>
      </c>
      <c r="AU45" s="313"/>
      <c r="AV45" s="314"/>
      <c r="AW45" s="309" t="s">
        <v>393</v>
      </c>
      <c r="AX45" s="310"/>
      <c r="AY45" s="310"/>
      <c r="AZ45" s="310"/>
      <c r="BA45" s="310"/>
      <c r="BB45" s="310"/>
      <c r="BC45" s="311"/>
      <c r="BD45" s="323"/>
      <c r="BE45" s="324"/>
      <c r="BF45" s="324"/>
      <c r="BG45" s="325"/>
      <c r="BH45" s="295"/>
      <c r="BI45" s="326"/>
      <c r="BJ45" s="296"/>
      <c r="BK45" s="321">
        <f>BH45*1.07</f>
        <v>0</v>
      </c>
      <c r="BL45" s="321"/>
      <c r="BM45" s="322"/>
      <c r="BO45" s="2"/>
      <c r="BP45" s="20"/>
    </row>
    <row r="46" spans="1:68" ht="20.100000000000001" customHeight="1">
      <c r="A46" s="297" t="s">
        <v>180</v>
      </c>
      <c r="B46" s="298"/>
      <c r="C46" s="298"/>
      <c r="D46" s="298"/>
      <c r="E46" s="298"/>
      <c r="F46" s="298"/>
      <c r="G46" s="299"/>
      <c r="H46" s="334" t="s">
        <v>183</v>
      </c>
      <c r="I46" s="335"/>
      <c r="J46" s="335"/>
      <c r="K46" s="336"/>
      <c r="L46" s="295"/>
      <c r="M46" s="326"/>
      <c r="N46" s="296"/>
      <c r="O46" s="347">
        <f>L46*2.55</f>
        <v>0</v>
      </c>
      <c r="P46" s="348"/>
      <c r="Q46" s="24" t="s">
        <v>189</v>
      </c>
      <c r="R46" s="25"/>
      <c r="S46" s="25"/>
      <c r="T46" s="25"/>
      <c r="U46" s="25"/>
      <c r="V46" s="25"/>
      <c r="W46" s="26"/>
      <c r="X46" s="334" t="s">
        <v>183</v>
      </c>
      <c r="Y46" s="335"/>
      <c r="Z46" s="335"/>
      <c r="AA46" s="336"/>
      <c r="AB46" s="295"/>
      <c r="AC46" s="296"/>
      <c r="AD46" s="313">
        <f>AB46*2.55</f>
        <v>0</v>
      </c>
      <c r="AE46" s="313"/>
      <c r="AF46" s="314"/>
      <c r="AG46" s="297" t="s">
        <v>142</v>
      </c>
      <c r="AH46" s="298"/>
      <c r="AI46" s="298"/>
      <c r="AJ46" s="298"/>
      <c r="AK46" s="298"/>
      <c r="AL46" s="298"/>
      <c r="AM46" s="299"/>
      <c r="AN46" s="300" t="s">
        <v>160</v>
      </c>
      <c r="AO46" s="301"/>
      <c r="AP46" s="301"/>
      <c r="AQ46" s="302"/>
      <c r="AR46" s="295"/>
      <c r="AS46" s="296"/>
      <c r="AT46" s="313">
        <f>AR46*8.3</f>
        <v>0</v>
      </c>
      <c r="AU46" s="313"/>
      <c r="AV46" s="314"/>
      <c r="AW46" s="315"/>
      <c r="AX46" s="316"/>
      <c r="AY46" s="316"/>
      <c r="AZ46" s="316"/>
      <c r="BA46" s="316"/>
      <c r="BB46" s="316"/>
      <c r="BC46" s="317"/>
      <c r="BD46" s="329"/>
      <c r="BE46" s="330"/>
      <c r="BF46" s="330"/>
      <c r="BG46" s="331"/>
      <c r="BH46" s="295"/>
      <c r="BI46" s="326"/>
      <c r="BJ46" s="296"/>
      <c r="BK46" s="327"/>
      <c r="BL46" s="327"/>
      <c r="BM46" s="328"/>
      <c r="BO46" s="2"/>
      <c r="BP46" s="20"/>
    </row>
    <row r="47" spans="1:68" ht="20.100000000000001" customHeight="1">
      <c r="A47" s="297" t="s">
        <v>180</v>
      </c>
      <c r="B47" s="298"/>
      <c r="C47" s="298"/>
      <c r="D47" s="298"/>
      <c r="E47" s="298"/>
      <c r="F47" s="298"/>
      <c r="G47" s="299"/>
      <c r="H47" s="334" t="s">
        <v>184</v>
      </c>
      <c r="I47" s="335"/>
      <c r="J47" s="335"/>
      <c r="K47" s="336"/>
      <c r="L47" s="295"/>
      <c r="M47" s="326"/>
      <c r="N47" s="296"/>
      <c r="O47" s="347">
        <f>L47*1.81</f>
        <v>0</v>
      </c>
      <c r="P47" s="348"/>
      <c r="Q47" s="24" t="s">
        <v>189</v>
      </c>
      <c r="R47" s="25"/>
      <c r="S47" s="25"/>
      <c r="T47" s="25"/>
      <c r="U47" s="25"/>
      <c r="V47" s="25"/>
      <c r="W47" s="26"/>
      <c r="X47" s="334" t="s">
        <v>184</v>
      </c>
      <c r="Y47" s="335"/>
      <c r="Z47" s="335"/>
      <c r="AA47" s="336"/>
      <c r="AB47" s="295"/>
      <c r="AC47" s="296"/>
      <c r="AD47" s="313">
        <f>AB47*1.81</f>
        <v>0</v>
      </c>
      <c r="AE47" s="313"/>
      <c r="AF47" s="314"/>
      <c r="AG47" s="297" t="s">
        <v>142</v>
      </c>
      <c r="AH47" s="298"/>
      <c r="AI47" s="298"/>
      <c r="AJ47" s="298"/>
      <c r="AK47" s="298"/>
      <c r="AL47" s="298"/>
      <c r="AM47" s="299"/>
      <c r="AN47" s="300" t="s">
        <v>161</v>
      </c>
      <c r="AO47" s="301"/>
      <c r="AP47" s="301"/>
      <c r="AQ47" s="302"/>
      <c r="AR47" s="295"/>
      <c r="AS47" s="296"/>
      <c r="AT47" s="313">
        <f>AR47*16</f>
        <v>0</v>
      </c>
      <c r="AU47" s="313"/>
      <c r="AV47" s="314"/>
      <c r="AW47" s="315"/>
      <c r="AX47" s="316"/>
      <c r="AY47" s="316"/>
      <c r="AZ47" s="316"/>
      <c r="BA47" s="316"/>
      <c r="BB47" s="316"/>
      <c r="BC47" s="317"/>
      <c r="BD47" s="329"/>
      <c r="BE47" s="330"/>
      <c r="BF47" s="330"/>
      <c r="BG47" s="331"/>
      <c r="BH47" s="295"/>
      <c r="BI47" s="326"/>
      <c r="BJ47" s="296"/>
      <c r="BK47" s="327"/>
      <c r="BL47" s="327"/>
      <c r="BM47" s="328"/>
      <c r="BO47" s="2"/>
      <c r="BP47" s="20"/>
    </row>
    <row r="48" spans="1:68" ht="20.100000000000001" customHeight="1">
      <c r="A48" s="297" t="s">
        <v>180</v>
      </c>
      <c r="B48" s="298"/>
      <c r="C48" s="298"/>
      <c r="D48" s="298"/>
      <c r="E48" s="298"/>
      <c r="F48" s="298"/>
      <c r="G48" s="299"/>
      <c r="H48" s="334" t="s">
        <v>185</v>
      </c>
      <c r="I48" s="335"/>
      <c r="J48" s="335"/>
      <c r="K48" s="336"/>
      <c r="L48" s="295"/>
      <c r="M48" s="326"/>
      <c r="N48" s="296"/>
      <c r="O48" s="347">
        <f>L48*3.4</f>
        <v>0</v>
      </c>
      <c r="P48" s="348"/>
      <c r="Q48" s="24" t="s">
        <v>189</v>
      </c>
      <c r="R48" s="25"/>
      <c r="S48" s="25"/>
      <c r="T48" s="25"/>
      <c r="U48" s="25"/>
      <c r="V48" s="25"/>
      <c r="W48" s="26"/>
      <c r="X48" s="334" t="s">
        <v>185</v>
      </c>
      <c r="Y48" s="335"/>
      <c r="Z48" s="335"/>
      <c r="AA48" s="336"/>
      <c r="AB48" s="295"/>
      <c r="AC48" s="296"/>
      <c r="AD48" s="313">
        <f>AB48*3.4</f>
        <v>0</v>
      </c>
      <c r="AE48" s="313"/>
      <c r="AF48" s="314"/>
      <c r="AG48" s="297" t="s">
        <v>142</v>
      </c>
      <c r="AH48" s="298"/>
      <c r="AI48" s="298"/>
      <c r="AJ48" s="298"/>
      <c r="AK48" s="298"/>
      <c r="AL48" s="298"/>
      <c r="AM48" s="299"/>
      <c r="AN48" s="300" t="s">
        <v>162</v>
      </c>
      <c r="AO48" s="301"/>
      <c r="AP48" s="301"/>
      <c r="AQ48" s="302"/>
      <c r="AR48" s="295"/>
      <c r="AS48" s="296"/>
      <c r="AT48" s="313">
        <f>AR48*11.5</f>
        <v>0</v>
      </c>
      <c r="AU48" s="313"/>
      <c r="AV48" s="314"/>
      <c r="AW48" s="315"/>
      <c r="AX48" s="316"/>
      <c r="AY48" s="316"/>
      <c r="AZ48" s="316"/>
      <c r="BA48" s="316"/>
      <c r="BB48" s="316"/>
      <c r="BC48" s="317"/>
      <c r="BD48" s="329"/>
      <c r="BE48" s="330"/>
      <c r="BF48" s="330"/>
      <c r="BG48" s="331"/>
      <c r="BH48" s="295"/>
      <c r="BI48" s="326"/>
      <c r="BJ48" s="296"/>
      <c r="BK48" s="327"/>
      <c r="BL48" s="327"/>
      <c r="BM48" s="328"/>
      <c r="BO48" s="2"/>
      <c r="BP48" s="20"/>
    </row>
    <row r="49" spans="1:68" ht="20.100000000000001" customHeight="1">
      <c r="A49" s="297" t="s">
        <v>180</v>
      </c>
      <c r="B49" s="298"/>
      <c r="C49" s="298"/>
      <c r="D49" s="298"/>
      <c r="E49" s="298"/>
      <c r="F49" s="298"/>
      <c r="G49" s="299"/>
      <c r="H49" s="334" t="s">
        <v>186</v>
      </c>
      <c r="I49" s="335"/>
      <c r="J49" s="335"/>
      <c r="K49" s="336"/>
      <c r="L49" s="295"/>
      <c r="M49" s="326"/>
      <c r="N49" s="296"/>
      <c r="O49" s="347">
        <f>L49*2.67</f>
        <v>0</v>
      </c>
      <c r="P49" s="348"/>
      <c r="Q49" s="24" t="s">
        <v>189</v>
      </c>
      <c r="R49" s="25"/>
      <c r="S49" s="25"/>
      <c r="T49" s="25"/>
      <c r="U49" s="25"/>
      <c r="V49" s="25"/>
      <c r="W49" s="26"/>
      <c r="X49" s="334" t="s">
        <v>186</v>
      </c>
      <c r="Y49" s="335"/>
      <c r="Z49" s="335"/>
      <c r="AA49" s="336"/>
      <c r="AB49" s="295"/>
      <c r="AC49" s="296"/>
      <c r="AD49" s="313">
        <f>AB49*2.67</f>
        <v>0</v>
      </c>
      <c r="AE49" s="313"/>
      <c r="AF49" s="314"/>
      <c r="AG49" s="297" t="s">
        <v>142</v>
      </c>
      <c r="AH49" s="298"/>
      <c r="AI49" s="298"/>
      <c r="AJ49" s="298"/>
      <c r="AK49" s="298"/>
      <c r="AL49" s="298"/>
      <c r="AM49" s="299"/>
      <c r="AN49" s="300" t="s">
        <v>341</v>
      </c>
      <c r="AO49" s="301"/>
      <c r="AP49" s="301"/>
      <c r="AQ49" s="302"/>
      <c r="AR49" s="295"/>
      <c r="AS49" s="296"/>
      <c r="AT49" s="313">
        <f>AR49*21</f>
        <v>0</v>
      </c>
      <c r="AU49" s="313"/>
      <c r="AV49" s="314"/>
      <c r="AW49" s="315"/>
      <c r="AX49" s="316"/>
      <c r="AY49" s="316"/>
      <c r="AZ49" s="316"/>
      <c r="BA49" s="316"/>
      <c r="BB49" s="316"/>
      <c r="BC49" s="317"/>
      <c r="BD49" s="329"/>
      <c r="BE49" s="330"/>
      <c r="BF49" s="330"/>
      <c r="BG49" s="331"/>
      <c r="BH49" s="295"/>
      <c r="BI49" s="326"/>
      <c r="BJ49" s="296"/>
      <c r="BK49" s="327"/>
      <c r="BL49" s="327"/>
      <c r="BM49" s="328"/>
      <c r="BO49" s="2"/>
      <c r="BP49" s="20"/>
    </row>
    <row r="50" spans="1:68" ht="20.100000000000001" customHeight="1">
      <c r="A50" s="297" t="s">
        <v>180</v>
      </c>
      <c r="B50" s="298"/>
      <c r="C50" s="298"/>
      <c r="D50" s="298"/>
      <c r="E50" s="298"/>
      <c r="F50" s="298"/>
      <c r="G50" s="299"/>
      <c r="H50" s="334" t="s">
        <v>187</v>
      </c>
      <c r="I50" s="335"/>
      <c r="J50" s="335"/>
      <c r="K50" s="336"/>
      <c r="L50" s="295"/>
      <c r="M50" s="326"/>
      <c r="N50" s="296"/>
      <c r="O50" s="347">
        <f>L50*1.91</f>
        <v>0</v>
      </c>
      <c r="P50" s="348"/>
      <c r="Q50" s="24" t="s">
        <v>189</v>
      </c>
      <c r="R50" s="25"/>
      <c r="S50" s="25"/>
      <c r="T50" s="25"/>
      <c r="U50" s="25"/>
      <c r="V50" s="25"/>
      <c r="W50" s="26"/>
      <c r="X50" s="334" t="s">
        <v>187</v>
      </c>
      <c r="Y50" s="335"/>
      <c r="Z50" s="335"/>
      <c r="AA50" s="336"/>
      <c r="AB50" s="295"/>
      <c r="AC50" s="296"/>
      <c r="AD50" s="313">
        <f>AB50*1.91</f>
        <v>0</v>
      </c>
      <c r="AE50" s="313"/>
      <c r="AF50" s="314"/>
      <c r="AG50" s="297" t="s">
        <v>142</v>
      </c>
      <c r="AH50" s="298"/>
      <c r="AI50" s="298"/>
      <c r="AJ50" s="298"/>
      <c r="AK50" s="298"/>
      <c r="AL50" s="298"/>
      <c r="AM50" s="299"/>
      <c r="AN50" s="300" t="s">
        <v>340</v>
      </c>
      <c r="AO50" s="301"/>
      <c r="AP50" s="301"/>
      <c r="AQ50" s="302"/>
      <c r="AR50" s="295"/>
      <c r="AS50" s="296"/>
      <c r="AT50" s="313">
        <f>AR50*7.4</f>
        <v>0</v>
      </c>
      <c r="AU50" s="313"/>
      <c r="AV50" s="314"/>
      <c r="AW50" s="315"/>
      <c r="AX50" s="316"/>
      <c r="AY50" s="316"/>
      <c r="AZ50" s="316"/>
      <c r="BA50" s="316"/>
      <c r="BB50" s="316"/>
      <c r="BC50" s="317"/>
      <c r="BD50" s="329"/>
      <c r="BE50" s="330"/>
      <c r="BF50" s="330"/>
      <c r="BG50" s="331"/>
      <c r="BH50" s="295"/>
      <c r="BI50" s="326"/>
      <c r="BJ50" s="296"/>
      <c r="BK50" s="327"/>
      <c r="BL50" s="327"/>
      <c r="BM50" s="328"/>
      <c r="BO50" s="2"/>
      <c r="BP50" s="20"/>
    </row>
    <row r="51" spans="1:68" ht="20.100000000000001" customHeight="1">
      <c r="A51" s="315"/>
      <c r="B51" s="316"/>
      <c r="C51" s="316"/>
      <c r="D51" s="316"/>
      <c r="E51" s="316"/>
      <c r="F51" s="316"/>
      <c r="G51" s="317"/>
      <c r="H51" s="329"/>
      <c r="I51" s="330"/>
      <c r="J51" s="330"/>
      <c r="K51" s="331"/>
      <c r="L51" s="295"/>
      <c r="M51" s="326"/>
      <c r="N51" s="296"/>
      <c r="O51" s="379"/>
      <c r="P51" s="380"/>
      <c r="Q51" s="24" t="s">
        <v>189</v>
      </c>
      <c r="R51" s="25"/>
      <c r="S51" s="25"/>
      <c r="T51" s="25"/>
      <c r="U51" s="25"/>
      <c r="V51" s="25"/>
      <c r="W51" s="26"/>
      <c r="X51" s="334" t="s">
        <v>337</v>
      </c>
      <c r="Y51" s="335"/>
      <c r="Z51" s="335"/>
      <c r="AA51" s="336"/>
      <c r="AB51" s="295"/>
      <c r="AC51" s="296"/>
      <c r="AD51" s="313">
        <f>AB51*4.14</f>
        <v>0</v>
      </c>
      <c r="AE51" s="313"/>
      <c r="AF51" s="314"/>
      <c r="AG51" s="297" t="s">
        <v>142</v>
      </c>
      <c r="AH51" s="298"/>
      <c r="AI51" s="298"/>
      <c r="AJ51" s="298"/>
      <c r="AK51" s="298"/>
      <c r="AL51" s="298"/>
      <c r="AM51" s="299"/>
      <c r="AN51" s="300" t="s">
        <v>339</v>
      </c>
      <c r="AO51" s="301"/>
      <c r="AP51" s="301"/>
      <c r="AQ51" s="302"/>
      <c r="AR51" s="295"/>
      <c r="AS51" s="296"/>
      <c r="AT51" s="313">
        <f>AR51*11</f>
        <v>0</v>
      </c>
      <c r="AU51" s="313"/>
      <c r="AV51" s="314"/>
      <c r="AW51" s="315"/>
      <c r="AX51" s="316"/>
      <c r="AY51" s="316"/>
      <c r="AZ51" s="316"/>
      <c r="BA51" s="316"/>
      <c r="BB51" s="316"/>
      <c r="BC51" s="317"/>
      <c r="BD51" s="329"/>
      <c r="BE51" s="330"/>
      <c r="BF51" s="330"/>
      <c r="BG51" s="331"/>
      <c r="BH51" s="295"/>
      <c r="BI51" s="326"/>
      <c r="BJ51" s="296"/>
      <c r="BK51" s="332"/>
      <c r="BL51" s="332"/>
      <c r="BM51" s="333"/>
      <c r="BO51" s="2"/>
      <c r="BP51" s="20"/>
    </row>
    <row r="52" spans="1:68" ht="20.100000000000001" customHeight="1">
      <c r="A52" s="315"/>
      <c r="B52" s="316"/>
      <c r="C52" s="316"/>
      <c r="D52" s="316"/>
      <c r="E52" s="316"/>
      <c r="F52" s="316"/>
      <c r="G52" s="317"/>
      <c r="H52" s="329"/>
      <c r="I52" s="330"/>
      <c r="J52" s="330"/>
      <c r="K52" s="331"/>
      <c r="L52" s="295"/>
      <c r="M52" s="326"/>
      <c r="N52" s="296"/>
      <c r="O52" s="379"/>
      <c r="P52" s="380"/>
      <c r="Q52" s="24" t="s">
        <v>189</v>
      </c>
      <c r="R52" s="25"/>
      <c r="S52" s="25"/>
      <c r="T52" s="25"/>
      <c r="U52" s="25"/>
      <c r="V52" s="25"/>
      <c r="W52" s="26"/>
      <c r="X52" s="334" t="s">
        <v>338</v>
      </c>
      <c r="Y52" s="335"/>
      <c r="Z52" s="335"/>
      <c r="AA52" s="336"/>
      <c r="AB52" s="295"/>
      <c r="AC52" s="296"/>
      <c r="AD52" s="313">
        <f>AB52*3.16</f>
        <v>0</v>
      </c>
      <c r="AE52" s="313"/>
      <c r="AF52" s="314"/>
      <c r="AG52" s="315"/>
      <c r="AH52" s="316"/>
      <c r="AI52" s="316"/>
      <c r="AJ52" s="316"/>
      <c r="AK52" s="316"/>
      <c r="AL52" s="316"/>
      <c r="AM52" s="317"/>
      <c r="AN52" s="318"/>
      <c r="AO52" s="319"/>
      <c r="AP52" s="319"/>
      <c r="AQ52" s="320"/>
      <c r="AR52" s="295"/>
      <c r="AS52" s="296"/>
      <c r="AT52" s="327"/>
      <c r="AU52" s="327"/>
      <c r="AV52" s="328"/>
      <c r="AW52" s="315"/>
      <c r="AX52" s="316"/>
      <c r="AY52" s="316"/>
      <c r="AZ52" s="316"/>
      <c r="BA52" s="316"/>
      <c r="BB52" s="316"/>
      <c r="BC52" s="317"/>
      <c r="BD52" s="329"/>
      <c r="BE52" s="330"/>
      <c r="BF52" s="330"/>
      <c r="BG52" s="331"/>
      <c r="BH52" s="295"/>
      <c r="BI52" s="326"/>
      <c r="BJ52" s="296"/>
      <c r="BK52" s="332"/>
      <c r="BL52" s="332"/>
      <c r="BM52" s="333"/>
      <c r="BO52" s="2"/>
      <c r="BP52" s="20"/>
    </row>
    <row r="53" spans="1:68" ht="20.100000000000001" customHeight="1">
      <c r="A53" s="315"/>
      <c r="B53" s="316"/>
      <c r="C53" s="316"/>
      <c r="D53" s="316"/>
      <c r="E53" s="316"/>
      <c r="F53" s="316"/>
      <c r="G53" s="317"/>
      <c r="H53" s="329"/>
      <c r="I53" s="330"/>
      <c r="J53" s="330"/>
      <c r="K53" s="331"/>
      <c r="L53" s="295"/>
      <c r="M53" s="326"/>
      <c r="N53" s="296"/>
      <c r="O53" s="379"/>
      <c r="P53" s="380"/>
      <c r="Q53" s="315"/>
      <c r="R53" s="316"/>
      <c r="S53" s="316"/>
      <c r="T53" s="316"/>
      <c r="U53" s="316"/>
      <c r="V53" s="316"/>
      <c r="W53" s="317"/>
      <c r="X53" s="391"/>
      <c r="Y53" s="392"/>
      <c r="Z53" s="392"/>
      <c r="AA53" s="393"/>
      <c r="AB53" s="295"/>
      <c r="AC53" s="296"/>
      <c r="AD53" s="332"/>
      <c r="AE53" s="332"/>
      <c r="AF53" s="333"/>
      <c r="AG53" s="315"/>
      <c r="AH53" s="316"/>
      <c r="AI53" s="316"/>
      <c r="AJ53" s="316"/>
      <c r="AK53" s="316"/>
      <c r="AL53" s="316"/>
      <c r="AM53" s="317"/>
      <c r="AN53" s="318"/>
      <c r="AO53" s="319"/>
      <c r="AP53" s="319"/>
      <c r="AQ53" s="320"/>
      <c r="AR53" s="295"/>
      <c r="AS53" s="296"/>
      <c r="AT53" s="327"/>
      <c r="AU53" s="327"/>
      <c r="AV53" s="328"/>
      <c r="AW53" s="315"/>
      <c r="AX53" s="316"/>
      <c r="AY53" s="316"/>
      <c r="AZ53" s="316"/>
      <c r="BA53" s="316"/>
      <c r="BB53" s="316"/>
      <c r="BC53" s="317"/>
      <c r="BD53" s="329"/>
      <c r="BE53" s="330"/>
      <c r="BF53" s="330"/>
      <c r="BG53" s="331"/>
      <c r="BH53" s="295"/>
      <c r="BI53" s="326"/>
      <c r="BJ53" s="296"/>
      <c r="BK53" s="332"/>
      <c r="BL53" s="332"/>
      <c r="BM53" s="333"/>
      <c r="BO53" s="2"/>
      <c r="BP53" s="20"/>
    </row>
    <row r="54" spans="1:68" ht="20.100000000000001" customHeight="1">
      <c r="A54" s="297" t="s">
        <v>191</v>
      </c>
      <c r="B54" s="298"/>
      <c r="C54" s="298"/>
      <c r="D54" s="298"/>
      <c r="E54" s="298"/>
      <c r="F54" s="298"/>
      <c r="G54" s="299"/>
      <c r="H54" s="381"/>
      <c r="I54" s="382"/>
      <c r="J54" s="382"/>
      <c r="K54" s="383"/>
      <c r="L54" s="295"/>
      <c r="M54" s="326"/>
      <c r="N54" s="296"/>
      <c r="O54" s="347">
        <f>L54*0.005</f>
        <v>0</v>
      </c>
      <c r="P54" s="348"/>
      <c r="Q54" s="297" t="s">
        <v>143</v>
      </c>
      <c r="R54" s="298"/>
      <c r="S54" s="298"/>
      <c r="T54" s="298"/>
      <c r="U54" s="298"/>
      <c r="V54" s="298"/>
      <c r="W54" s="299"/>
      <c r="X54" s="300" t="s">
        <v>163</v>
      </c>
      <c r="Y54" s="301"/>
      <c r="Z54" s="301"/>
      <c r="AA54" s="302"/>
      <c r="AB54" s="295"/>
      <c r="AC54" s="296"/>
      <c r="AD54" s="313">
        <f>AB54*2.4</f>
        <v>0</v>
      </c>
      <c r="AE54" s="313"/>
      <c r="AF54" s="314"/>
      <c r="AG54" s="297" t="s">
        <v>190</v>
      </c>
      <c r="AH54" s="298"/>
      <c r="AI54" s="298"/>
      <c r="AJ54" s="298"/>
      <c r="AK54" s="298"/>
      <c r="AL54" s="298"/>
      <c r="AM54" s="299"/>
      <c r="AN54" s="334" t="s">
        <v>145</v>
      </c>
      <c r="AO54" s="335"/>
      <c r="AP54" s="335"/>
      <c r="AQ54" s="336"/>
      <c r="AR54" s="295"/>
      <c r="AS54" s="296"/>
      <c r="AT54" s="313">
        <f>AR54*4</f>
        <v>0</v>
      </c>
      <c r="AU54" s="313"/>
      <c r="AV54" s="314"/>
      <c r="AW54" s="315"/>
      <c r="AX54" s="316"/>
      <c r="AY54" s="316"/>
      <c r="AZ54" s="316"/>
      <c r="BA54" s="316"/>
      <c r="BB54" s="316"/>
      <c r="BC54" s="317"/>
      <c r="BD54" s="329"/>
      <c r="BE54" s="330"/>
      <c r="BF54" s="330"/>
      <c r="BG54" s="331"/>
      <c r="BH54" s="295"/>
      <c r="BI54" s="326"/>
      <c r="BJ54" s="296"/>
      <c r="BK54" s="332"/>
      <c r="BL54" s="332"/>
      <c r="BM54" s="333"/>
      <c r="BO54" s="2"/>
      <c r="BP54" s="20"/>
    </row>
    <row r="55" spans="1:68" ht="20.100000000000001" customHeight="1">
      <c r="A55" s="297" t="s">
        <v>144</v>
      </c>
      <c r="B55" s="298"/>
      <c r="C55" s="298"/>
      <c r="D55" s="298"/>
      <c r="E55" s="298"/>
      <c r="F55" s="298"/>
      <c r="G55" s="299"/>
      <c r="H55" s="381"/>
      <c r="I55" s="382"/>
      <c r="J55" s="382"/>
      <c r="K55" s="383"/>
      <c r="L55" s="295"/>
      <c r="M55" s="326"/>
      <c r="N55" s="296"/>
      <c r="O55" s="347">
        <f>L55*0.005</f>
        <v>0</v>
      </c>
      <c r="P55" s="348"/>
      <c r="Q55" s="297" t="s">
        <v>143</v>
      </c>
      <c r="R55" s="298"/>
      <c r="S55" s="298"/>
      <c r="T55" s="298"/>
      <c r="U55" s="298"/>
      <c r="V55" s="298"/>
      <c r="W55" s="299"/>
      <c r="X55" s="300" t="s">
        <v>164</v>
      </c>
      <c r="Y55" s="301"/>
      <c r="Z55" s="301"/>
      <c r="AA55" s="302"/>
      <c r="AB55" s="295"/>
      <c r="AC55" s="296"/>
      <c r="AD55" s="313">
        <f>AB55*3.3</f>
        <v>0</v>
      </c>
      <c r="AE55" s="313"/>
      <c r="AF55" s="314"/>
      <c r="AG55" s="315"/>
      <c r="AH55" s="316"/>
      <c r="AI55" s="316"/>
      <c r="AJ55" s="316"/>
      <c r="AK55" s="316"/>
      <c r="AL55" s="316"/>
      <c r="AM55" s="317"/>
      <c r="AN55" s="318"/>
      <c r="AO55" s="319"/>
      <c r="AP55" s="319"/>
      <c r="AQ55" s="320"/>
      <c r="AR55" s="295"/>
      <c r="AS55" s="296"/>
      <c r="AT55" s="327"/>
      <c r="AU55" s="327"/>
      <c r="AV55" s="328"/>
      <c r="AW55" s="315"/>
      <c r="AX55" s="316"/>
      <c r="AY55" s="316"/>
      <c r="AZ55" s="316"/>
      <c r="BA55" s="316"/>
      <c r="BB55" s="316"/>
      <c r="BC55" s="317"/>
      <c r="BD55" s="329"/>
      <c r="BE55" s="330"/>
      <c r="BF55" s="330"/>
      <c r="BG55" s="331"/>
      <c r="BH55" s="295"/>
      <c r="BI55" s="326"/>
      <c r="BJ55" s="296"/>
      <c r="BK55" s="332"/>
      <c r="BL55" s="332"/>
      <c r="BM55" s="333"/>
      <c r="BO55" s="2"/>
      <c r="BP55" s="20"/>
    </row>
    <row r="56" spans="1:68" ht="20.100000000000001" customHeight="1">
      <c r="A56" s="297" t="s">
        <v>192</v>
      </c>
      <c r="B56" s="298"/>
      <c r="C56" s="298"/>
      <c r="D56" s="298"/>
      <c r="E56" s="298"/>
      <c r="F56" s="298"/>
      <c r="G56" s="299"/>
      <c r="H56" s="376"/>
      <c r="I56" s="377"/>
      <c r="J56" s="377"/>
      <c r="K56" s="378"/>
      <c r="L56" s="295"/>
      <c r="M56" s="326"/>
      <c r="N56" s="296"/>
      <c r="O56" s="347">
        <f>L56*0.005</f>
        <v>0</v>
      </c>
      <c r="P56" s="348"/>
      <c r="Q56" s="297" t="s">
        <v>143</v>
      </c>
      <c r="R56" s="298"/>
      <c r="S56" s="298"/>
      <c r="T56" s="298"/>
      <c r="U56" s="298"/>
      <c r="V56" s="298"/>
      <c r="W56" s="299"/>
      <c r="X56" s="300" t="s">
        <v>165</v>
      </c>
      <c r="Y56" s="301"/>
      <c r="Z56" s="301"/>
      <c r="AA56" s="302"/>
      <c r="AB56" s="295"/>
      <c r="AC56" s="296"/>
      <c r="AD56" s="313">
        <f>AB56*5</f>
        <v>0</v>
      </c>
      <c r="AE56" s="313"/>
      <c r="AF56" s="314"/>
      <c r="AG56" s="341"/>
      <c r="AH56" s="342"/>
      <c r="AI56" s="342"/>
      <c r="AJ56" s="342"/>
      <c r="AK56" s="342"/>
      <c r="AL56" s="342"/>
      <c r="AM56" s="343"/>
      <c r="AN56" s="344"/>
      <c r="AO56" s="345"/>
      <c r="AP56" s="345"/>
      <c r="AQ56" s="346"/>
      <c r="AR56" s="337"/>
      <c r="AS56" s="338"/>
      <c r="AT56" s="339"/>
      <c r="AU56" s="339"/>
      <c r="AV56" s="340"/>
      <c r="AW56" s="315"/>
      <c r="AX56" s="316"/>
      <c r="AY56" s="316"/>
      <c r="AZ56" s="316"/>
      <c r="BA56" s="316"/>
      <c r="BB56" s="316"/>
      <c r="BC56" s="317"/>
      <c r="BD56" s="329"/>
      <c r="BE56" s="330"/>
      <c r="BF56" s="330"/>
      <c r="BG56" s="331"/>
      <c r="BH56" s="295"/>
      <c r="BI56" s="326"/>
      <c r="BJ56" s="296"/>
      <c r="BK56" s="332"/>
      <c r="BL56" s="332"/>
      <c r="BM56" s="333"/>
      <c r="BO56" s="2"/>
      <c r="BP56" s="20"/>
    </row>
    <row r="57" spans="1:68" ht="20.100000000000001" customHeight="1">
      <c r="A57" s="297" t="s">
        <v>193</v>
      </c>
      <c r="B57" s="298"/>
      <c r="C57" s="298"/>
      <c r="D57" s="298"/>
      <c r="E57" s="298"/>
      <c r="F57" s="298"/>
      <c r="G57" s="299"/>
      <c r="H57" s="376"/>
      <c r="I57" s="377"/>
      <c r="J57" s="377"/>
      <c r="K57" s="378"/>
      <c r="L57" s="295"/>
      <c r="M57" s="326"/>
      <c r="N57" s="296"/>
      <c r="O57" s="347">
        <f>L57*0.4</f>
        <v>0</v>
      </c>
      <c r="P57" s="348"/>
      <c r="Q57" s="297" t="s">
        <v>143</v>
      </c>
      <c r="R57" s="298"/>
      <c r="S57" s="298"/>
      <c r="T57" s="298"/>
      <c r="U57" s="298"/>
      <c r="V57" s="298"/>
      <c r="W57" s="299"/>
      <c r="X57" s="300" t="s">
        <v>166</v>
      </c>
      <c r="Y57" s="301"/>
      <c r="Z57" s="301"/>
      <c r="AA57" s="302"/>
      <c r="AB57" s="295"/>
      <c r="AC57" s="296"/>
      <c r="AD57" s="313">
        <f>AB57*6.5</f>
        <v>0</v>
      </c>
      <c r="AE57" s="313"/>
      <c r="AF57" s="314"/>
      <c r="AG57" s="297" t="s">
        <v>139</v>
      </c>
      <c r="AH57" s="298"/>
      <c r="AI57" s="298"/>
      <c r="AJ57" s="298"/>
      <c r="AK57" s="298"/>
      <c r="AL57" s="298"/>
      <c r="AM57" s="299"/>
      <c r="AN57" s="334" t="s">
        <v>150</v>
      </c>
      <c r="AO57" s="335"/>
      <c r="AP57" s="335"/>
      <c r="AQ57" s="336"/>
      <c r="AR57" s="295"/>
      <c r="AS57" s="296"/>
      <c r="AT57" s="313">
        <f>AR57*8.8</f>
        <v>0</v>
      </c>
      <c r="AU57" s="313"/>
      <c r="AV57" s="314"/>
      <c r="AW57" s="315"/>
      <c r="AX57" s="316"/>
      <c r="AY57" s="316"/>
      <c r="AZ57" s="316"/>
      <c r="BA57" s="316"/>
      <c r="BB57" s="316"/>
      <c r="BC57" s="317"/>
      <c r="BD57" s="329"/>
      <c r="BE57" s="330"/>
      <c r="BF57" s="330"/>
      <c r="BG57" s="331"/>
      <c r="BH57" s="295"/>
      <c r="BI57" s="326"/>
      <c r="BJ57" s="296"/>
      <c r="BK57" s="332"/>
      <c r="BL57" s="332"/>
      <c r="BM57" s="333"/>
      <c r="BO57" s="2"/>
      <c r="BP57" s="20"/>
    </row>
    <row r="58" spans="1:68" ht="20.100000000000001" customHeight="1">
      <c r="A58" s="24" t="s">
        <v>333</v>
      </c>
      <c r="B58" s="25"/>
      <c r="C58" s="25"/>
      <c r="D58" s="25"/>
      <c r="E58" s="25"/>
      <c r="F58" s="25"/>
      <c r="G58" s="26"/>
      <c r="H58" s="334"/>
      <c r="I58" s="335"/>
      <c r="J58" s="335"/>
      <c r="K58" s="336"/>
      <c r="L58" s="295"/>
      <c r="M58" s="326"/>
      <c r="N58" s="296"/>
      <c r="O58" s="347">
        <f>L58*2.5</f>
        <v>0</v>
      </c>
      <c r="P58" s="348"/>
      <c r="Q58" s="297" t="s">
        <v>143</v>
      </c>
      <c r="R58" s="298"/>
      <c r="S58" s="298"/>
      <c r="T58" s="298"/>
      <c r="U58" s="298"/>
      <c r="V58" s="298"/>
      <c r="W58" s="299"/>
      <c r="X58" s="300" t="s">
        <v>335</v>
      </c>
      <c r="Y58" s="301"/>
      <c r="Z58" s="301"/>
      <c r="AA58" s="302"/>
      <c r="AB58" s="295"/>
      <c r="AC58" s="296"/>
      <c r="AD58" s="313">
        <f>AB58*10.5</f>
        <v>0</v>
      </c>
      <c r="AE58" s="313"/>
      <c r="AF58" s="314"/>
      <c r="AG58" s="297" t="s">
        <v>139</v>
      </c>
      <c r="AH58" s="298"/>
      <c r="AI58" s="298"/>
      <c r="AJ58" s="298"/>
      <c r="AK58" s="298"/>
      <c r="AL58" s="298"/>
      <c r="AM58" s="299"/>
      <c r="AN58" s="334" t="s">
        <v>151</v>
      </c>
      <c r="AO58" s="335"/>
      <c r="AP58" s="335"/>
      <c r="AQ58" s="336"/>
      <c r="AR58" s="295"/>
      <c r="AS58" s="296"/>
      <c r="AT58" s="313">
        <f>AR58*7.4</f>
        <v>0</v>
      </c>
      <c r="AU58" s="313"/>
      <c r="AV58" s="314"/>
      <c r="AW58" s="315"/>
      <c r="AX58" s="316"/>
      <c r="AY58" s="316"/>
      <c r="AZ58" s="316"/>
      <c r="BA58" s="316"/>
      <c r="BB58" s="316"/>
      <c r="BC58" s="317"/>
      <c r="BD58" s="329"/>
      <c r="BE58" s="330"/>
      <c r="BF58" s="330"/>
      <c r="BG58" s="331"/>
      <c r="BH58" s="295"/>
      <c r="BI58" s="326"/>
      <c r="BJ58" s="296"/>
      <c r="BK58" s="332"/>
      <c r="BL58" s="332"/>
      <c r="BM58" s="333"/>
      <c r="BO58" s="2"/>
      <c r="BP58" s="20"/>
    </row>
    <row r="59" spans="1:68" ht="20.100000000000001" customHeight="1">
      <c r="A59" s="24" t="s">
        <v>334</v>
      </c>
      <c r="B59" s="25"/>
      <c r="C59" s="25"/>
      <c r="D59" s="25"/>
      <c r="E59" s="25"/>
      <c r="F59" s="25"/>
      <c r="G59" s="26"/>
      <c r="H59" s="334"/>
      <c r="I59" s="335"/>
      <c r="J59" s="335"/>
      <c r="K59" s="336"/>
      <c r="L59" s="295"/>
      <c r="M59" s="326"/>
      <c r="N59" s="296"/>
      <c r="O59" s="347">
        <f>L59*0.95</f>
        <v>0</v>
      </c>
      <c r="P59" s="348"/>
      <c r="Q59" s="297" t="s">
        <v>143</v>
      </c>
      <c r="R59" s="298"/>
      <c r="S59" s="298"/>
      <c r="T59" s="298"/>
      <c r="U59" s="298"/>
      <c r="V59" s="298"/>
      <c r="W59" s="299"/>
      <c r="X59" s="300" t="s">
        <v>167</v>
      </c>
      <c r="Y59" s="301"/>
      <c r="Z59" s="301"/>
      <c r="AA59" s="302"/>
      <c r="AB59" s="295"/>
      <c r="AC59" s="296"/>
      <c r="AD59" s="313">
        <f>AB59*9</f>
        <v>0</v>
      </c>
      <c r="AE59" s="313"/>
      <c r="AF59" s="314"/>
      <c r="AG59" s="297" t="s">
        <v>139</v>
      </c>
      <c r="AH59" s="298"/>
      <c r="AI59" s="298"/>
      <c r="AJ59" s="298"/>
      <c r="AK59" s="298"/>
      <c r="AL59" s="298"/>
      <c r="AM59" s="299"/>
      <c r="AN59" s="334" t="s">
        <v>152</v>
      </c>
      <c r="AO59" s="335"/>
      <c r="AP59" s="335"/>
      <c r="AQ59" s="336"/>
      <c r="AR59" s="295"/>
      <c r="AS59" s="296"/>
      <c r="AT59" s="313">
        <f>AR59*6.1</f>
        <v>0</v>
      </c>
      <c r="AU59" s="313"/>
      <c r="AV59" s="314"/>
      <c r="AW59" s="315"/>
      <c r="AX59" s="316"/>
      <c r="AY59" s="316"/>
      <c r="AZ59" s="316"/>
      <c r="BA59" s="316"/>
      <c r="BB59" s="316"/>
      <c r="BC59" s="317"/>
      <c r="BD59" s="329"/>
      <c r="BE59" s="330"/>
      <c r="BF59" s="330"/>
      <c r="BG59" s="331"/>
      <c r="BH59" s="295"/>
      <c r="BI59" s="326"/>
      <c r="BJ59" s="296"/>
      <c r="BK59" s="332"/>
      <c r="BL59" s="332"/>
      <c r="BM59" s="333"/>
      <c r="BO59" s="2"/>
      <c r="BP59" s="20"/>
    </row>
    <row r="60" spans="1:68" ht="20.100000000000001" customHeight="1">
      <c r="A60" s="315"/>
      <c r="B60" s="316"/>
      <c r="C60" s="316"/>
      <c r="D60" s="316"/>
      <c r="E60" s="316"/>
      <c r="F60" s="316"/>
      <c r="G60" s="317"/>
      <c r="H60" s="329"/>
      <c r="I60" s="330"/>
      <c r="J60" s="330"/>
      <c r="K60" s="331"/>
      <c r="L60" s="295"/>
      <c r="M60" s="326"/>
      <c r="N60" s="296"/>
      <c r="O60" s="379"/>
      <c r="P60" s="380"/>
      <c r="Q60" s="297" t="s">
        <v>143</v>
      </c>
      <c r="R60" s="298"/>
      <c r="S60" s="298"/>
      <c r="T60" s="298"/>
      <c r="U60" s="298"/>
      <c r="V60" s="298"/>
      <c r="W60" s="299"/>
      <c r="X60" s="300" t="s">
        <v>168</v>
      </c>
      <c r="Y60" s="301"/>
      <c r="Z60" s="301"/>
      <c r="AA60" s="302"/>
      <c r="AB60" s="295"/>
      <c r="AC60" s="296"/>
      <c r="AD60" s="313">
        <f>AB60*17.5</f>
        <v>0</v>
      </c>
      <c r="AE60" s="313"/>
      <c r="AF60" s="314"/>
      <c r="AG60" s="297" t="s">
        <v>139</v>
      </c>
      <c r="AH60" s="298"/>
      <c r="AI60" s="298"/>
      <c r="AJ60" s="298"/>
      <c r="AK60" s="298"/>
      <c r="AL60" s="298"/>
      <c r="AM60" s="299"/>
      <c r="AN60" s="334" t="s">
        <v>153</v>
      </c>
      <c r="AO60" s="335"/>
      <c r="AP60" s="335"/>
      <c r="AQ60" s="336"/>
      <c r="AR60" s="295"/>
      <c r="AS60" s="296"/>
      <c r="AT60" s="313">
        <f>AR60*4.7</f>
        <v>0</v>
      </c>
      <c r="AU60" s="313"/>
      <c r="AV60" s="314"/>
      <c r="AW60" s="315"/>
      <c r="AX60" s="316"/>
      <c r="AY60" s="316"/>
      <c r="AZ60" s="316"/>
      <c r="BA60" s="316"/>
      <c r="BB60" s="316"/>
      <c r="BC60" s="317"/>
      <c r="BD60" s="329"/>
      <c r="BE60" s="330"/>
      <c r="BF60" s="330"/>
      <c r="BG60" s="331"/>
      <c r="BH60" s="295"/>
      <c r="BI60" s="326"/>
      <c r="BJ60" s="296"/>
      <c r="BK60" s="332"/>
      <c r="BL60" s="332"/>
      <c r="BM60" s="333"/>
      <c r="BO60" s="2"/>
      <c r="BP60" s="20"/>
    </row>
    <row r="61" spans="1:68" ht="20.100000000000001" customHeight="1">
      <c r="A61" s="297" t="s">
        <v>140</v>
      </c>
      <c r="B61" s="298"/>
      <c r="C61" s="298"/>
      <c r="D61" s="298"/>
      <c r="E61" s="298"/>
      <c r="F61" s="298"/>
      <c r="G61" s="299"/>
      <c r="H61" s="334" t="s">
        <v>155</v>
      </c>
      <c r="I61" s="335"/>
      <c r="J61" s="335"/>
      <c r="K61" s="336"/>
      <c r="L61" s="295"/>
      <c r="M61" s="326"/>
      <c r="N61" s="296"/>
      <c r="O61" s="347">
        <f>L61*13.5</f>
        <v>0</v>
      </c>
      <c r="P61" s="348"/>
      <c r="Q61" s="297" t="s">
        <v>143</v>
      </c>
      <c r="R61" s="298"/>
      <c r="S61" s="298"/>
      <c r="T61" s="298"/>
      <c r="U61" s="298"/>
      <c r="V61" s="298"/>
      <c r="W61" s="299"/>
      <c r="X61" s="300" t="s">
        <v>160</v>
      </c>
      <c r="Y61" s="301"/>
      <c r="Z61" s="301"/>
      <c r="AA61" s="302"/>
      <c r="AB61" s="295"/>
      <c r="AC61" s="296"/>
      <c r="AD61" s="313">
        <f>AB61*12.5</f>
        <v>0</v>
      </c>
      <c r="AE61" s="313"/>
      <c r="AF61" s="314"/>
      <c r="AG61" s="297" t="s">
        <v>139</v>
      </c>
      <c r="AH61" s="298"/>
      <c r="AI61" s="298"/>
      <c r="AJ61" s="298"/>
      <c r="AK61" s="298"/>
      <c r="AL61" s="298"/>
      <c r="AM61" s="299"/>
      <c r="AN61" s="334" t="s">
        <v>154</v>
      </c>
      <c r="AO61" s="335"/>
      <c r="AP61" s="335"/>
      <c r="AQ61" s="336"/>
      <c r="AR61" s="295"/>
      <c r="AS61" s="296"/>
      <c r="AT61" s="313">
        <f>AR61*3.3</f>
        <v>0</v>
      </c>
      <c r="AU61" s="313"/>
      <c r="AV61" s="314"/>
      <c r="AW61" s="315"/>
      <c r="AX61" s="316"/>
      <c r="AY61" s="316"/>
      <c r="AZ61" s="316"/>
      <c r="BA61" s="316"/>
      <c r="BB61" s="316"/>
      <c r="BC61" s="317"/>
      <c r="BD61" s="329"/>
      <c r="BE61" s="330"/>
      <c r="BF61" s="330"/>
      <c r="BG61" s="331"/>
      <c r="BH61" s="295"/>
      <c r="BI61" s="326"/>
      <c r="BJ61" s="296"/>
      <c r="BK61" s="332"/>
      <c r="BL61" s="332"/>
      <c r="BM61" s="333"/>
      <c r="BO61" s="2"/>
      <c r="BP61" s="20"/>
    </row>
    <row r="62" spans="1:68" ht="20.100000000000001" customHeight="1">
      <c r="A62" s="297" t="s">
        <v>140</v>
      </c>
      <c r="B62" s="298"/>
      <c r="C62" s="298"/>
      <c r="D62" s="298"/>
      <c r="E62" s="298"/>
      <c r="F62" s="298"/>
      <c r="G62" s="299"/>
      <c r="H62" s="334" t="s">
        <v>156</v>
      </c>
      <c r="I62" s="335"/>
      <c r="J62" s="335"/>
      <c r="K62" s="336"/>
      <c r="L62" s="295"/>
      <c r="M62" s="326"/>
      <c r="N62" s="296"/>
      <c r="O62" s="347">
        <f>L62*6.7</f>
        <v>0</v>
      </c>
      <c r="P62" s="348"/>
      <c r="Q62" s="297" t="s">
        <v>143</v>
      </c>
      <c r="R62" s="298"/>
      <c r="S62" s="298"/>
      <c r="T62" s="298"/>
      <c r="U62" s="298"/>
      <c r="V62" s="298"/>
      <c r="W62" s="299"/>
      <c r="X62" s="300" t="s">
        <v>162</v>
      </c>
      <c r="Y62" s="301"/>
      <c r="Z62" s="301"/>
      <c r="AA62" s="302"/>
      <c r="AB62" s="295"/>
      <c r="AC62" s="296"/>
      <c r="AD62" s="313">
        <f>AB62*17.2</f>
        <v>0</v>
      </c>
      <c r="AE62" s="313"/>
      <c r="AF62" s="314"/>
      <c r="AG62" s="315"/>
      <c r="AH62" s="316"/>
      <c r="AI62" s="316"/>
      <c r="AJ62" s="316"/>
      <c r="AK62" s="316"/>
      <c r="AL62" s="316"/>
      <c r="AM62" s="317"/>
      <c r="AN62" s="329"/>
      <c r="AO62" s="330"/>
      <c r="AP62" s="330"/>
      <c r="AQ62" s="331"/>
      <c r="AR62" s="295"/>
      <c r="AS62" s="296"/>
      <c r="AT62" s="327"/>
      <c r="AU62" s="327"/>
      <c r="AV62" s="328"/>
      <c r="AW62" s="315"/>
      <c r="AX62" s="316"/>
      <c r="AY62" s="316"/>
      <c r="AZ62" s="316"/>
      <c r="BA62" s="316"/>
      <c r="BB62" s="316"/>
      <c r="BC62" s="317"/>
      <c r="BD62" s="329"/>
      <c r="BE62" s="330"/>
      <c r="BF62" s="330"/>
      <c r="BG62" s="331"/>
      <c r="BH62" s="295"/>
      <c r="BI62" s="326"/>
      <c r="BJ62" s="296"/>
      <c r="BK62" s="332"/>
      <c r="BL62" s="332"/>
      <c r="BM62" s="333"/>
      <c r="BO62" s="2"/>
      <c r="BP62" s="20"/>
    </row>
    <row r="63" spans="1:68" ht="20.100000000000001" customHeight="1">
      <c r="A63" s="297" t="s">
        <v>140</v>
      </c>
      <c r="B63" s="298"/>
      <c r="C63" s="298"/>
      <c r="D63" s="298"/>
      <c r="E63" s="298"/>
      <c r="F63" s="298"/>
      <c r="G63" s="299"/>
      <c r="H63" s="334" t="s">
        <v>157</v>
      </c>
      <c r="I63" s="335"/>
      <c r="J63" s="335"/>
      <c r="K63" s="336"/>
      <c r="L63" s="295"/>
      <c r="M63" s="326"/>
      <c r="N63" s="296"/>
      <c r="O63" s="347">
        <f>L63*6.3</f>
        <v>0</v>
      </c>
      <c r="P63" s="348"/>
      <c r="Q63" s="297" t="s">
        <v>143</v>
      </c>
      <c r="R63" s="298"/>
      <c r="S63" s="298"/>
      <c r="T63" s="298"/>
      <c r="U63" s="298"/>
      <c r="V63" s="298"/>
      <c r="W63" s="299"/>
      <c r="X63" s="300" t="s">
        <v>336</v>
      </c>
      <c r="Y63" s="301"/>
      <c r="Z63" s="301"/>
      <c r="AA63" s="302"/>
      <c r="AB63" s="295"/>
      <c r="AC63" s="296"/>
      <c r="AD63" s="313">
        <f>AB63*24</f>
        <v>0</v>
      </c>
      <c r="AE63" s="313"/>
      <c r="AF63" s="314"/>
      <c r="AG63" s="315"/>
      <c r="AH63" s="316"/>
      <c r="AI63" s="316"/>
      <c r="AJ63" s="316"/>
      <c r="AK63" s="316"/>
      <c r="AL63" s="316"/>
      <c r="AM63" s="317"/>
      <c r="AN63" s="329"/>
      <c r="AO63" s="330"/>
      <c r="AP63" s="330"/>
      <c r="AQ63" s="331"/>
      <c r="AR63" s="295"/>
      <c r="AS63" s="296"/>
      <c r="AT63" s="327"/>
      <c r="AU63" s="327"/>
      <c r="AV63" s="328"/>
      <c r="AW63" s="315"/>
      <c r="AX63" s="316"/>
      <c r="AY63" s="316"/>
      <c r="AZ63" s="316"/>
      <c r="BA63" s="316"/>
      <c r="BB63" s="316"/>
      <c r="BC63" s="317"/>
      <c r="BD63" s="329"/>
      <c r="BE63" s="330"/>
      <c r="BF63" s="330"/>
      <c r="BG63" s="331"/>
      <c r="BH63" s="295"/>
      <c r="BI63" s="326"/>
      <c r="BJ63" s="296"/>
      <c r="BK63" s="332"/>
      <c r="BL63" s="332"/>
      <c r="BM63" s="333"/>
      <c r="BO63" s="2"/>
      <c r="BP63" s="20"/>
    </row>
    <row r="64" spans="1:68" ht="20.100000000000001" customHeight="1">
      <c r="A64" s="297" t="s">
        <v>140</v>
      </c>
      <c r="B64" s="298"/>
      <c r="C64" s="298"/>
      <c r="D64" s="298"/>
      <c r="E64" s="298"/>
      <c r="F64" s="298"/>
      <c r="G64" s="299"/>
      <c r="H64" s="334" t="s">
        <v>158</v>
      </c>
      <c r="I64" s="335"/>
      <c r="J64" s="335"/>
      <c r="K64" s="336"/>
      <c r="L64" s="295"/>
      <c r="M64" s="326"/>
      <c r="N64" s="296"/>
      <c r="O64" s="347">
        <f>L64*5.1</f>
        <v>0</v>
      </c>
      <c r="P64" s="348"/>
      <c r="Q64" s="297" t="s">
        <v>143</v>
      </c>
      <c r="R64" s="298"/>
      <c r="S64" s="298"/>
      <c r="T64" s="298"/>
      <c r="U64" s="298"/>
      <c r="V64" s="298"/>
      <c r="W64" s="299"/>
      <c r="X64" s="300" t="s">
        <v>169</v>
      </c>
      <c r="Y64" s="301"/>
      <c r="Z64" s="301"/>
      <c r="AA64" s="302"/>
      <c r="AB64" s="295"/>
      <c r="AC64" s="296"/>
      <c r="AD64" s="313">
        <f>AB64*23.3</f>
        <v>0</v>
      </c>
      <c r="AE64" s="313"/>
      <c r="AF64" s="314"/>
      <c r="AG64" s="315"/>
      <c r="AH64" s="316"/>
      <c r="AI64" s="316"/>
      <c r="AJ64" s="316"/>
      <c r="AK64" s="316"/>
      <c r="AL64" s="316"/>
      <c r="AM64" s="317"/>
      <c r="AN64" s="329"/>
      <c r="AO64" s="330"/>
      <c r="AP64" s="330"/>
      <c r="AQ64" s="331"/>
      <c r="AR64" s="295"/>
      <c r="AS64" s="296"/>
      <c r="AT64" s="327"/>
      <c r="AU64" s="327"/>
      <c r="AV64" s="328"/>
      <c r="AW64" s="315"/>
      <c r="AX64" s="316"/>
      <c r="AY64" s="316"/>
      <c r="AZ64" s="316"/>
      <c r="BA64" s="316"/>
      <c r="BB64" s="316"/>
      <c r="BC64" s="317"/>
      <c r="BD64" s="329"/>
      <c r="BE64" s="330"/>
      <c r="BF64" s="330"/>
      <c r="BG64" s="331"/>
      <c r="BH64" s="295"/>
      <c r="BI64" s="326"/>
      <c r="BJ64" s="296"/>
      <c r="BK64" s="332"/>
      <c r="BL64" s="332"/>
      <c r="BM64" s="333"/>
      <c r="BO64" s="2"/>
      <c r="BP64" s="20"/>
    </row>
    <row r="65" spans="1:68" ht="20.100000000000001" customHeight="1" thickBot="1">
      <c r="A65" s="356"/>
      <c r="B65" s="357"/>
      <c r="C65" s="357"/>
      <c r="D65" s="357"/>
      <c r="E65" s="357"/>
      <c r="F65" s="357"/>
      <c r="G65" s="358"/>
      <c r="H65" s="362"/>
      <c r="I65" s="363"/>
      <c r="J65" s="363"/>
      <c r="K65" s="364"/>
      <c r="L65" s="352"/>
      <c r="M65" s="373"/>
      <c r="N65" s="353"/>
      <c r="O65" s="374"/>
      <c r="P65" s="375"/>
      <c r="Q65" s="365" t="s">
        <v>143</v>
      </c>
      <c r="R65" s="366"/>
      <c r="S65" s="366"/>
      <c r="T65" s="366"/>
      <c r="U65" s="366"/>
      <c r="V65" s="366"/>
      <c r="W65" s="367"/>
      <c r="X65" s="368" t="s">
        <v>170</v>
      </c>
      <c r="Y65" s="369"/>
      <c r="Z65" s="369"/>
      <c r="AA65" s="370"/>
      <c r="AB65" s="352"/>
      <c r="AC65" s="353"/>
      <c r="AD65" s="354">
        <f>AB65*33</f>
        <v>0</v>
      </c>
      <c r="AE65" s="354"/>
      <c r="AF65" s="355"/>
      <c r="AG65" s="356"/>
      <c r="AH65" s="357"/>
      <c r="AI65" s="357"/>
      <c r="AJ65" s="357"/>
      <c r="AK65" s="357"/>
      <c r="AL65" s="357"/>
      <c r="AM65" s="358"/>
      <c r="AN65" s="362"/>
      <c r="AO65" s="363"/>
      <c r="AP65" s="363"/>
      <c r="AQ65" s="364"/>
      <c r="AR65" s="352"/>
      <c r="AS65" s="353"/>
      <c r="AT65" s="371"/>
      <c r="AU65" s="371"/>
      <c r="AV65" s="372"/>
      <c r="AW65" s="356"/>
      <c r="AX65" s="357"/>
      <c r="AY65" s="357"/>
      <c r="AZ65" s="357"/>
      <c r="BA65" s="357"/>
      <c r="BB65" s="357"/>
      <c r="BC65" s="358"/>
      <c r="BD65" s="362"/>
      <c r="BE65" s="363"/>
      <c r="BF65" s="363"/>
      <c r="BG65" s="364"/>
      <c r="BH65" s="352"/>
      <c r="BI65" s="373"/>
      <c r="BJ65" s="353"/>
      <c r="BK65" s="401"/>
      <c r="BL65" s="401"/>
      <c r="BM65" s="402"/>
      <c r="BO65" s="2"/>
      <c r="BP65" s="20"/>
    </row>
    <row r="66" spans="1:68" ht="19.5" customHeight="1" thickBot="1">
      <c r="N66" s="349">
        <f>SUM(O38:P65)</f>
        <v>0</v>
      </c>
      <c r="O66" s="350"/>
      <c r="P66" s="351"/>
      <c r="AC66" s="359">
        <f>SUM(AD38:AF65)</f>
        <v>0</v>
      </c>
      <c r="AD66" s="360"/>
      <c r="AE66" s="360"/>
      <c r="AF66" s="361"/>
      <c r="AS66" s="349">
        <f>SUM(AT38:AV65)</f>
        <v>0</v>
      </c>
      <c r="AT66" s="350"/>
      <c r="AU66" s="350"/>
      <c r="AV66" s="351"/>
      <c r="BJ66" s="222">
        <f>SUM(BK38:BM65)</f>
        <v>0</v>
      </c>
      <c r="BK66" s="223"/>
      <c r="BL66" s="223"/>
      <c r="BM66" s="224"/>
      <c r="BO66" s="2"/>
      <c r="BP66" s="2"/>
    </row>
    <row r="67" spans="1:68" ht="18" customHeight="1" thickBot="1">
      <c r="AG67" s="22"/>
      <c r="AH67" s="22"/>
      <c r="BG67" s="397">
        <f>N66+AC66+AS66+BJ66</f>
        <v>0</v>
      </c>
      <c r="BH67" s="398"/>
      <c r="BI67" s="398"/>
      <c r="BJ67" s="398"/>
      <c r="BK67" s="398"/>
      <c r="BL67" s="398"/>
      <c r="BM67" s="399"/>
      <c r="BO67" s="2"/>
      <c r="BP67" s="2"/>
    </row>
    <row r="68" spans="1:68" ht="27.75" customHeight="1">
      <c r="AG68" s="3"/>
      <c r="AH68" s="3"/>
    </row>
    <row r="69" spans="1:68">
      <c r="AG69" s="3"/>
      <c r="AH69" s="3"/>
    </row>
    <row r="70" spans="1:68">
      <c r="AG70" s="3"/>
      <c r="AH70" s="3"/>
    </row>
    <row r="71" spans="1:68">
      <c r="AG71" s="3"/>
      <c r="AH71" s="3"/>
    </row>
  </sheetData>
  <sheetProtection algorithmName="SHA-512" hashValue="q4qpGV37cb7uQmpO/sUwIxlpokOxCyb8cryyw6t3Gn7EKIV/WfKZJQkWEx6Rp0xCyQKJEbohRH+cCSj3XOTFyA==" saltValue="pGEVe9LjJWCuD4sh+7MZ5g==" spinCount="100000" sheet="1" insertColumns="0" insertRows="0" deleteColumns="0" deleteRows="0"/>
  <mergeCells count="1040">
    <mergeCell ref="A62:G62"/>
    <mergeCell ref="A63:G63"/>
    <mergeCell ref="A64:G64"/>
    <mergeCell ref="A60:G60"/>
    <mergeCell ref="BH65:BJ65"/>
    <mergeCell ref="BD64:BG64"/>
    <mergeCell ref="BH61:BJ61"/>
    <mergeCell ref="BH55:BJ55"/>
    <mergeCell ref="S29:V29"/>
    <mergeCell ref="W29:X29"/>
    <mergeCell ref="AA17:AD17"/>
    <mergeCell ref="AA18:AD18"/>
    <mergeCell ref="AA19:AD19"/>
    <mergeCell ref="AA21:AD21"/>
    <mergeCell ref="AA22:AD22"/>
    <mergeCell ref="AF27:AI27"/>
    <mergeCell ref="AF29:AI29"/>
    <mergeCell ref="AS30:AX30"/>
    <mergeCell ref="AA27:AE27"/>
    <mergeCell ref="AA28:AE28"/>
    <mergeCell ref="BD53:BG53"/>
    <mergeCell ref="BH53:BJ53"/>
    <mergeCell ref="BH54:BJ54"/>
    <mergeCell ref="BD55:BG55"/>
    <mergeCell ref="BH56:BJ56"/>
    <mergeCell ref="AB60:AC60"/>
    <mergeCell ref="AD60:AF60"/>
    <mergeCell ref="AB61:AC61"/>
    <mergeCell ref="AD61:AF61"/>
    <mergeCell ref="Q59:W59"/>
    <mergeCell ref="X59:AA59"/>
    <mergeCell ref="AG38:AM38"/>
    <mergeCell ref="BH37:BJ37"/>
    <mergeCell ref="BK37:BM37"/>
    <mergeCell ref="AG37:AM37"/>
    <mergeCell ref="AN37:AQ37"/>
    <mergeCell ref="AW65:BC65"/>
    <mergeCell ref="BK65:BM65"/>
    <mergeCell ref="AB37:AC37"/>
    <mergeCell ref="A38:G38"/>
    <mergeCell ref="H38:K38"/>
    <mergeCell ref="Q38:W38"/>
    <mergeCell ref="X38:AA38"/>
    <mergeCell ref="BD65:BG65"/>
    <mergeCell ref="AW60:BC60"/>
    <mergeCell ref="BD60:BG60"/>
    <mergeCell ref="BD59:BG59"/>
    <mergeCell ref="AW37:BC37"/>
    <mergeCell ref="AW63:BC63"/>
    <mergeCell ref="BD63:BG63"/>
    <mergeCell ref="BK64:BM64"/>
    <mergeCell ref="BD62:BG62"/>
    <mergeCell ref="BH62:BJ62"/>
    <mergeCell ref="BH63:BJ63"/>
    <mergeCell ref="BK62:BM62"/>
    <mergeCell ref="BK63:BM63"/>
    <mergeCell ref="AW62:BC62"/>
    <mergeCell ref="AW64:BC64"/>
    <mergeCell ref="BH60:BJ60"/>
    <mergeCell ref="BH64:BJ64"/>
    <mergeCell ref="BK60:BM60"/>
    <mergeCell ref="AW55:BC55"/>
    <mergeCell ref="A61:G61"/>
    <mergeCell ref="BK59:BM59"/>
    <mergeCell ref="BK57:BM57"/>
    <mergeCell ref="BK58:BM58"/>
    <mergeCell ref="BK56:BM56"/>
    <mergeCell ref="BH59:BJ59"/>
    <mergeCell ref="BH51:BJ51"/>
    <mergeCell ref="BH52:BJ52"/>
    <mergeCell ref="BK55:BM55"/>
    <mergeCell ref="BA1:BC1"/>
    <mergeCell ref="BJ66:BM66"/>
    <mergeCell ref="BG33:BM33"/>
    <mergeCell ref="BG67:BM67"/>
    <mergeCell ref="BD41:BG41"/>
    <mergeCell ref="BH41:BJ41"/>
    <mergeCell ref="BH42:BJ42"/>
    <mergeCell ref="BK41:BM41"/>
    <mergeCell ref="BK42:BM42"/>
    <mergeCell ref="AW38:BC38"/>
    <mergeCell ref="BD38:BG38"/>
    <mergeCell ref="BH38:BJ38"/>
    <mergeCell ref="BK38:BM38"/>
    <mergeCell ref="BD39:BG39"/>
    <mergeCell ref="BH39:BJ39"/>
    <mergeCell ref="BK43:BM43"/>
    <mergeCell ref="AW42:BC42"/>
    <mergeCell ref="AW54:BC54"/>
    <mergeCell ref="BD54:BG54"/>
    <mergeCell ref="BK47:BM47"/>
    <mergeCell ref="AY21:AZ21"/>
    <mergeCell ref="BF22:BI22"/>
    <mergeCell ref="BK53:BM53"/>
    <mergeCell ref="BF28:BI28"/>
    <mergeCell ref="AW29:AX29"/>
    <mergeCell ref="AB59:AC59"/>
    <mergeCell ref="AD59:AF59"/>
    <mergeCell ref="Q58:W58"/>
    <mergeCell ref="X58:AA58"/>
    <mergeCell ref="AB58:AC58"/>
    <mergeCell ref="AD58:AF58"/>
    <mergeCell ref="Q57:W57"/>
    <mergeCell ref="X57:AA57"/>
    <mergeCell ref="AB57:AC57"/>
    <mergeCell ref="AD57:AF57"/>
    <mergeCell ref="BK54:BM54"/>
    <mergeCell ref="Q55:W55"/>
    <mergeCell ref="X55:AA55"/>
    <mergeCell ref="BD43:BG43"/>
    <mergeCell ref="BH43:BJ43"/>
    <mergeCell ref="AB55:AC55"/>
    <mergeCell ref="AD55:AF55"/>
    <mergeCell ref="Q54:W54"/>
    <mergeCell ref="X54:AA54"/>
    <mergeCell ref="AB54:AC54"/>
    <mergeCell ref="AD54:AF54"/>
    <mergeCell ref="Q53:W53"/>
    <mergeCell ref="X53:AA53"/>
    <mergeCell ref="AB53:AC53"/>
    <mergeCell ref="AD53:AF53"/>
    <mergeCell ref="X52:AA52"/>
    <mergeCell ref="AB52:AC52"/>
    <mergeCell ref="AD52:AF52"/>
    <mergeCell ref="X51:AA51"/>
    <mergeCell ref="AB51:AC51"/>
    <mergeCell ref="AD51:AF51"/>
    <mergeCell ref="X50:AA50"/>
    <mergeCell ref="AB50:AC50"/>
    <mergeCell ref="AD50:AF50"/>
    <mergeCell ref="X49:AA49"/>
    <mergeCell ref="AW50:BC50"/>
    <mergeCell ref="BD50:BG50"/>
    <mergeCell ref="BD49:BG49"/>
    <mergeCell ref="BH49:BJ49"/>
    <mergeCell ref="AB49:AC49"/>
    <mergeCell ref="AD49:AF49"/>
    <mergeCell ref="X48:AA48"/>
    <mergeCell ref="AB48:AC48"/>
    <mergeCell ref="AD48:AF48"/>
    <mergeCell ref="AD44:AF44"/>
    <mergeCell ref="X47:AA47"/>
    <mergeCell ref="AB47:AC47"/>
    <mergeCell ref="AD47:AF47"/>
    <mergeCell ref="X46:AA46"/>
    <mergeCell ref="AB46:AC46"/>
    <mergeCell ref="AD46:AF46"/>
    <mergeCell ref="AR47:AS47"/>
    <mergeCell ref="AT47:AV47"/>
    <mergeCell ref="AG47:AM47"/>
    <mergeCell ref="AN47:AQ47"/>
    <mergeCell ref="BD47:BG47"/>
    <mergeCell ref="BH47:BJ47"/>
    <mergeCell ref="AR46:AS46"/>
    <mergeCell ref="AT46:AV46"/>
    <mergeCell ref="AR45:AS45"/>
    <mergeCell ref="AT45:AV45"/>
    <mergeCell ref="AG45:AM45"/>
    <mergeCell ref="AN45:AQ45"/>
    <mergeCell ref="AG46:AM46"/>
    <mergeCell ref="AD40:AF40"/>
    <mergeCell ref="X45:AA45"/>
    <mergeCell ref="AB45:AC45"/>
    <mergeCell ref="AD45:AF45"/>
    <mergeCell ref="AB43:AC43"/>
    <mergeCell ref="AD43:AF43"/>
    <mergeCell ref="X44:AA44"/>
    <mergeCell ref="AB44:AC44"/>
    <mergeCell ref="X37:AA37"/>
    <mergeCell ref="AD37:AF37"/>
    <mergeCell ref="AD41:AF41"/>
    <mergeCell ref="Q42:W42"/>
    <mergeCell ref="X42:AA42"/>
    <mergeCell ref="AB42:AC42"/>
    <mergeCell ref="AD42:AF42"/>
    <mergeCell ref="AD39:AF39"/>
    <mergeCell ref="Q40:W40"/>
    <mergeCell ref="X40:AA40"/>
    <mergeCell ref="Q43:W43"/>
    <mergeCell ref="X43:AA43"/>
    <mergeCell ref="AD38:AF38"/>
    <mergeCell ref="L38:N38"/>
    <mergeCell ref="O38:P38"/>
    <mergeCell ref="Q37:W37"/>
    <mergeCell ref="AB38:AC38"/>
    <mergeCell ref="Q39:W39"/>
    <mergeCell ref="X39:AA39"/>
    <mergeCell ref="AB39:AC39"/>
    <mergeCell ref="Q41:W41"/>
    <mergeCell ref="X41:AA41"/>
    <mergeCell ref="AB41:AC41"/>
    <mergeCell ref="AB40:AC40"/>
    <mergeCell ref="A41:G41"/>
    <mergeCell ref="H41:K41"/>
    <mergeCell ref="A39:G39"/>
    <mergeCell ref="H39:K39"/>
    <mergeCell ref="L39:N39"/>
    <mergeCell ref="O39:P39"/>
    <mergeCell ref="A40:G40"/>
    <mergeCell ref="H40:K40"/>
    <mergeCell ref="L40:N40"/>
    <mergeCell ref="O40:P40"/>
    <mergeCell ref="L41:N41"/>
    <mergeCell ref="O41:P41"/>
    <mergeCell ref="H60:K60"/>
    <mergeCell ref="L60:N60"/>
    <mergeCell ref="O60:P60"/>
    <mergeCell ref="H59:K59"/>
    <mergeCell ref="L59:N59"/>
    <mergeCell ref="O58:P58"/>
    <mergeCell ref="H58:K58"/>
    <mergeCell ref="O55:P55"/>
    <mergeCell ref="A56:G56"/>
    <mergeCell ref="H57:K57"/>
    <mergeCell ref="L57:N57"/>
    <mergeCell ref="O59:P59"/>
    <mergeCell ref="L58:N58"/>
    <mergeCell ref="H54:K54"/>
    <mergeCell ref="L54:N54"/>
    <mergeCell ref="O56:P56"/>
    <mergeCell ref="A54:G54"/>
    <mergeCell ref="O54:P54"/>
    <mergeCell ref="A57:G57"/>
    <mergeCell ref="O57:P57"/>
    <mergeCell ref="A43:G43"/>
    <mergeCell ref="H43:K43"/>
    <mergeCell ref="L43:N43"/>
    <mergeCell ref="O43:P43"/>
    <mergeCell ref="A53:G53"/>
    <mergeCell ref="H53:K53"/>
    <mergeCell ref="L53:N53"/>
    <mergeCell ref="H56:K56"/>
    <mergeCell ref="L56:N56"/>
    <mergeCell ref="O52:P52"/>
    <mergeCell ref="O53:P53"/>
    <mergeCell ref="A52:G52"/>
    <mergeCell ref="H52:K52"/>
    <mergeCell ref="L52:N52"/>
    <mergeCell ref="O51:P51"/>
    <mergeCell ref="A51:G51"/>
    <mergeCell ref="H51:K51"/>
    <mergeCell ref="L51:N51"/>
    <mergeCell ref="H55:K55"/>
    <mergeCell ref="L55:N55"/>
    <mergeCell ref="A55:G55"/>
    <mergeCell ref="O50:P50"/>
    <mergeCell ref="A50:G50"/>
    <mergeCell ref="H50:K50"/>
    <mergeCell ref="L50:N50"/>
    <mergeCell ref="O49:P49"/>
    <mergeCell ref="A49:G49"/>
    <mergeCell ref="H49:K49"/>
    <mergeCell ref="L49:N49"/>
    <mergeCell ref="O48:P48"/>
    <mergeCell ref="L48:N48"/>
    <mergeCell ref="A48:G48"/>
    <mergeCell ref="A42:G42"/>
    <mergeCell ref="H42:K42"/>
    <mergeCell ref="L42:N42"/>
    <mergeCell ref="O42:P42"/>
    <mergeCell ref="A65:G65"/>
    <mergeCell ref="H65:K65"/>
    <mergeCell ref="L65:N65"/>
    <mergeCell ref="O65:P65"/>
    <mergeCell ref="N66:P66"/>
    <mergeCell ref="H64:K64"/>
    <mergeCell ref="L61:N61"/>
    <mergeCell ref="O61:P61"/>
    <mergeCell ref="L62:N62"/>
    <mergeCell ref="H61:K61"/>
    <mergeCell ref="H62:K62"/>
    <mergeCell ref="A45:G45"/>
    <mergeCell ref="H45:K45"/>
    <mergeCell ref="L45:N45"/>
    <mergeCell ref="O45:P45"/>
    <mergeCell ref="A44:G44"/>
    <mergeCell ref="H44:K44"/>
    <mergeCell ref="L44:N44"/>
    <mergeCell ref="O44:P44"/>
    <mergeCell ref="H48:K48"/>
    <mergeCell ref="A47:G47"/>
    <mergeCell ref="H47:K47"/>
    <mergeCell ref="L47:N47"/>
    <mergeCell ref="O47:P47"/>
    <mergeCell ref="A46:G46"/>
    <mergeCell ref="H46:K46"/>
    <mergeCell ref="L46:N46"/>
    <mergeCell ref="O46:P46"/>
    <mergeCell ref="AS66:AV66"/>
    <mergeCell ref="X64:AA64"/>
    <mergeCell ref="AB64:AC64"/>
    <mergeCell ref="AB65:AC65"/>
    <mergeCell ref="AD65:AF65"/>
    <mergeCell ref="AG65:AM65"/>
    <mergeCell ref="AC66:AF66"/>
    <mergeCell ref="AT64:AV64"/>
    <mergeCell ref="AN65:AQ65"/>
    <mergeCell ref="O64:P64"/>
    <mergeCell ref="Q64:W64"/>
    <mergeCell ref="L64:N64"/>
    <mergeCell ref="H63:K63"/>
    <mergeCell ref="L63:N63"/>
    <mergeCell ref="AG64:AM64"/>
    <mergeCell ref="O63:P63"/>
    <mergeCell ref="Q63:W63"/>
    <mergeCell ref="X63:AA63"/>
    <mergeCell ref="AB63:AC63"/>
    <mergeCell ref="Q65:W65"/>
    <mergeCell ref="X65:AA65"/>
    <mergeCell ref="AR65:AS65"/>
    <mergeCell ref="AT65:AV65"/>
    <mergeCell ref="AG56:AM56"/>
    <mergeCell ref="AN56:AQ56"/>
    <mergeCell ref="AB62:AC62"/>
    <mergeCell ref="AD62:AF62"/>
    <mergeCell ref="AN63:AQ63"/>
    <mergeCell ref="AD64:AF64"/>
    <mergeCell ref="AN64:AQ64"/>
    <mergeCell ref="AD63:AF63"/>
    <mergeCell ref="AT61:AV61"/>
    <mergeCell ref="AG63:AM63"/>
    <mergeCell ref="AT63:AV63"/>
    <mergeCell ref="AR63:AS63"/>
    <mergeCell ref="AR64:AS64"/>
    <mergeCell ref="BK61:BM61"/>
    <mergeCell ref="O62:P62"/>
    <mergeCell ref="X61:AA61"/>
    <mergeCell ref="AG62:AM62"/>
    <mergeCell ref="AN62:AQ62"/>
    <mergeCell ref="Q62:W62"/>
    <mergeCell ref="Q61:W61"/>
    <mergeCell ref="X62:AA62"/>
    <mergeCell ref="AW61:BC61"/>
    <mergeCell ref="BD61:BG61"/>
    <mergeCell ref="AN61:AQ61"/>
    <mergeCell ref="AR61:AS61"/>
    <mergeCell ref="AG61:AM61"/>
    <mergeCell ref="Q56:W56"/>
    <mergeCell ref="X56:AA56"/>
    <mergeCell ref="AB56:AC56"/>
    <mergeCell ref="AD56:AF56"/>
    <mergeCell ref="Q60:W60"/>
    <mergeCell ref="X60:AA60"/>
    <mergeCell ref="AT57:AV57"/>
    <mergeCell ref="AR62:AS62"/>
    <mergeCell ref="AT62:AV62"/>
    <mergeCell ref="BD58:BG58"/>
    <mergeCell ref="BD57:BG57"/>
    <mergeCell ref="BH57:BJ57"/>
    <mergeCell ref="BH58:BJ58"/>
    <mergeCell ref="AW56:BC56"/>
    <mergeCell ref="BD56:BG56"/>
    <mergeCell ref="AR60:AS60"/>
    <mergeCell ref="AW57:BC57"/>
    <mergeCell ref="AW58:BC58"/>
    <mergeCell ref="AR59:AS59"/>
    <mergeCell ref="AT59:AV59"/>
    <mergeCell ref="AW59:BC59"/>
    <mergeCell ref="AR56:AS56"/>
    <mergeCell ref="AT56:AV56"/>
    <mergeCell ref="AG55:AM55"/>
    <mergeCell ref="AN55:AQ55"/>
    <mergeCell ref="AG54:AM54"/>
    <mergeCell ref="AN54:AQ54"/>
    <mergeCell ref="AR54:AS54"/>
    <mergeCell ref="AT54:AV54"/>
    <mergeCell ref="AR55:AS55"/>
    <mergeCell ref="AT55:AV55"/>
    <mergeCell ref="AG59:AM59"/>
    <mergeCell ref="AN59:AQ59"/>
    <mergeCell ref="AN60:AQ60"/>
    <mergeCell ref="AR53:AS53"/>
    <mergeCell ref="AT53:AV53"/>
    <mergeCell ref="AW53:BC53"/>
    <mergeCell ref="AG53:AM53"/>
    <mergeCell ref="AN53:AQ53"/>
    <mergeCell ref="BK52:BM52"/>
    <mergeCell ref="AG52:AM52"/>
    <mergeCell ref="AN52:AQ52"/>
    <mergeCell ref="AR52:AS52"/>
    <mergeCell ref="AT52:AV52"/>
    <mergeCell ref="AW52:BC52"/>
    <mergeCell ref="BD52:BG52"/>
    <mergeCell ref="AT60:AV60"/>
    <mergeCell ref="AG60:AM60"/>
    <mergeCell ref="AG57:AM57"/>
    <mergeCell ref="AN57:AQ57"/>
    <mergeCell ref="AG58:AM58"/>
    <mergeCell ref="AN58:AQ58"/>
    <mergeCell ref="AR58:AS58"/>
    <mergeCell ref="AT58:AV58"/>
    <mergeCell ref="AR57:AS57"/>
    <mergeCell ref="AR51:AS51"/>
    <mergeCell ref="AT51:AV51"/>
    <mergeCell ref="AW51:BC51"/>
    <mergeCell ref="AG51:AM51"/>
    <mergeCell ref="AN51:AQ51"/>
    <mergeCell ref="AG50:AM50"/>
    <mergeCell ref="AN50:AQ50"/>
    <mergeCell ref="AR50:AS50"/>
    <mergeCell ref="AT50:AV50"/>
    <mergeCell ref="AR49:AS49"/>
    <mergeCell ref="AT49:AV49"/>
    <mergeCell ref="AG49:AM49"/>
    <mergeCell ref="AN49:AQ49"/>
    <mergeCell ref="BK48:BM48"/>
    <mergeCell ref="AG48:AM48"/>
    <mergeCell ref="AN48:AQ48"/>
    <mergeCell ref="AR48:AS48"/>
    <mergeCell ref="AT48:AV48"/>
    <mergeCell ref="AW48:BC48"/>
    <mergeCell ref="BD48:BG48"/>
    <mergeCell ref="BH48:BJ48"/>
    <mergeCell ref="BK51:BM51"/>
    <mergeCell ref="BH50:BJ50"/>
    <mergeCell ref="BK49:BM49"/>
    <mergeCell ref="AW49:BC49"/>
    <mergeCell ref="BK50:BM50"/>
    <mergeCell ref="BD51:BG51"/>
    <mergeCell ref="AN46:AQ46"/>
    <mergeCell ref="BK44:BM44"/>
    <mergeCell ref="AG44:AM44"/>
    <mergeCell ref="AN44:AQ44"/>
    <mergeCell ref="AR44:AS44"/>
    <mergeCell ref="AT44:AV44"/>
    <mergeCell ref="AW44:BC44"/>
    <mergeCell ref="BD44:BG44"/>
    <mergeCell ref="BH44:BJ44"/>
    <mergeCell ref="AW45:BC45"/>
    <mergeCell ref="AW47:BC47"/>
    <mergeCell ref="AT42:AV42"/>
    <mergeCell ref="AR43:AS43"/>
    <mergeCell ref="AT43:AV43"/>
    <mergeCell ref="AW46:BC46"/>
    <mergeCell ref="BD46:BG46"/>
    <mergeCell ref="BD45:BG45"/>
    <mergeCell ref="BH45:BJ45"/>
    <mergeCell ref="BH46:BJ46"/>
    <mergeCell ref="BK45:BM45"/>
    <mergeCell ref="BK46:BM46"/>
    <mergeCell ref="BD42:BG42"/>
    <mergeCell ref="AG41:AM41"/>
    <mergeCell ref="AN41:AQ41"/>
    <mergeCell ref="AG42:AM42"/>
    <mergeCell ref="AN42:AQ42"/>
    <mergeCell ref="AT41:AV41"/>
    <mergeCell ref="AG43:AM43"/>
    <mergeCell ref="AN43:AQ43"/>
    <mergeCell ref="AW41:BC41"/>
    <mergeCell ref="AW43:BC43"/>
    <mergeCell ref="BK40:BM40"/>
    <mergeCell ref="AG40:AM40"/>
    <mergeCell ref="AR40:AS40"/>
    <mergeCell ref="AT40:AV40"/>
    <mergeCell ref="AW40:BC40"/>
    <mergeCell ref="BD40:BG40"/>
    <mergeCell ref="BH40:BJ40"/>
    <mergeCell ref="BK39:BM39"/>
    <mergeCell ref="AT39:AV39"/>
    <mergeCell ref="AR42:AS42"/>
    <mergeCell ref="AT38:AV38"/>
    <mergeCell ref="AJ24:AK24"/>
    <mergeCell ref="AL27:AM27"/>
    <mergeCell ref="AR41:AS41"/>
    <mergeCell ref="AR39:AS39"/>
    <mergeCell ref="BL30:BM30"/>
    <mergeCell ref="BL31:BM31"/>
    <mergeCell ref="BL29:BM29"/>
    <mergeCell ref="BJ30:BK30"/>
    <mergeCell ref="BJ31:BK31"/>
    <mergeCell ref="AL31:AM31"/>
    <mergeCell ref="AG39:AM39"/>
    <mergeCell ref="AN39:AQ39"/>
    <mergeCell ref="AN40:AQ40"/>
    <mergeCell ref="AS25:AV25"/>
    <mergeCell ref="BF24:BI24"/>
    <mergeCell ref="BF25:BI25"/>
    <mergeCell ref="BA26:BE26"/>
    <mergeCell ref="BA25:BE25"/>
    <mergeCell ref="AN25:AR25"/>
    <mergeCell ref="AR37:AS37"/>
    <mergeCell ref="AW39:BC39"/>
    <mergeCell ref="AT37:AV37"/>
    <mergeCell ref="AW32:AZ32"/>
    <mergeCell ref="BF26:BI26"/>
    <mergeCell ref="AS26:AV26"/>
    <mergeCell ref="AY26:AZ26"/>
    <mergeCell ref="BA27:BE27"/>
    <mergeCell ref="BF27:BI27"/>
    <mergeCell ref="AN24:AR24"/>
    <mergeCell ref="AS24:AV24"/>
    <mergeCell ref="BJ32:BM32"/>
    <mergeCell ref="BF29:BI29"/>
    <mergeCell ref="AY31:AZ31"/>
    <mergeCell ref="BA31:BE31"/>
    <mergeCell ref="BF30:BI30"/>
    <mergeCell ref="BA30:BE30"/>
    <mergeCell ref="BF31:BI31"/>
    <mergeCell ref="AY20:AZ20"/>
    <mergeCell ref="BA20:BE20"/>
    <mergeCell ref="BD37:BG37"/>
    <mergeCell ref="BA24:BE24"/>
    <mergeCell ref="A32:I32"/>
    <mergeCell ref="J32:M32"/>
    <mergeCell ref="N32:V32"/>
    <mergeCell ref="W32:Z32"/>
    <mergeCell ref="BA32:BI32"/>
    <mergeCell ref="BA21:BE21"/>
    <mergeCell ref="AL20:AM20"/>
    <mergeCell ref="A22:E22"/>
    <mergeCell ref="F22:I22"/>
    <mergeCell ref="J22:K22"/>
    <mergeCell ref="L22:M22"/>
    <mergeCell ref="A23:E23"/>
    <mergeCell ref="F23:I23"/>
    <mergeCell ref="A37:G37"/>
    <mergeCell ref="H37:K37"/>
    <mergeCell ref="L37:N37"/>
    <mergeCell ref="O37:P37"/>
    <mergeCell ref="A20:E20"/>
    <mergeCell ref="F20:I20"/>
    <mergeCell ref="A21:E21"/>
    <mergeCell ref="F21:I21"/>
    <mergeCell ref="N21:R21"/>
    <mergeCell ref="AS3:AU3"/>
    <mergeCell ref="A2:R3"/>
    <mergeCell ref="BA7:BE7"/>
    <mergeCell ref="BA9:BE9"/>
    <mergeCell ref="AN31:AR31"/>
    <mergeCell ref="AS31:AV31"/>
    <mergeCell ref="AW31:AX31"/>
    <mergeCell ref="AW26:AX26"/>
    <mergeCell ref="AW27:AX27"/>
    <mergeCell ref="AW28:AX28"/>
    <mergeCell ref="AW2:AY2"/>
    <mergeCell ref="AN4:AR4"/>
    <mergeCell ref="N5:R5"/>
    <mergeCell ref="L5:M5"/>
    <mergeCell ref="AA5:AE5"/>
    <mergeCell ref="BG3:BH3"/>
    <mergeCell ref="AJ4:AK4"/>
    <mergeCell ref="AJ5:AK5"/>
    <mergeCell ref="AL4:AM4"/>
    <mergeCell ref="AL5:AM5"/>
    <mergeCell ref="A4:E4"/>
    <mergeCell ref="F4:I4"/>
    <mergeCell ref="AA4:AE4"/>
    <mergeCell ref="AF4:AI4"/>
    <mergeCell ref="J4:K4"/>
    <mergeCell ref="L4:M4"/>
    <mergeCell ref="BF5:BI5"/>
    <mergeCell ref="AS5:AV5"/>
    <mergeCell ref="AW4:AX4"/>
    <mergeCell ref="AW5:AX5"/>
    <mergeCell ref="BA5:BE5"/>
    <mergeCell ref="AS23:AV23"/>
    <mergeCell ref="AY5:AZ5"/>
    <mergeCell ref="BF4:BI4"/>
    <mergeCell ref="AS4:AV4"/>
    <mergeCell ref="BA4:BE4"/>
    <mergeCell ref="AY4:AZ4"/>
    <mergeCell ref="A6:E6"/>
    <mergeCell ref="F6:I6"/>
    <mergeCell ref="J6:K6"/>
    <mergeCell ref="N6:R6"/>
    <mergeCell ref="S6:V6"/>
    <mergeCell ref="AN5:AR5"/>
    <mergeCell ref="AA6:AE6"/>
    <mergeCell ref="AF5:AI5"/>
    <mergeCell ref="A5:E5"/>
    <mergeCell ref="F5:I5"/>
    <mergeCell ref="BA6:BE6"/>
    <mergeCell ref="BF6:BI6"/>
    <mergeCell ref="AF6:AI6"/>
    <mergeCell ref="AN6:AR6"/>
    <mergeCell ref="AS6:AV6"/>
    <mergeCell ref="AJ6:AK6"/>
    <mergeCell ref="AY6:AZ6"/>
    <mergeCell ref="AL6:AM6"/>
    <mergeCell ref="AW6:AX6"/>
    <mergeCell ref="AA7:AE7"/>
    <mergeCell ref="AF7:AI7"/>
    <mergeCell ref="A7:E7"/>
    <mergeCell ref="F7:I7"/>
    <mergeCell ref="J7:K7"/>
    <mergeCell ref="N7:R7"/>
    <mergeCell ref="Y7:Z7"/>
    <mergeCell ref="BF7:BI7"/>
    <mergeCell ref="A8:E8"/>
    <mergeCell ref="F8:I8"/>
    <mergeCell ref="J8:K8"/>
    <mergeCell ref="N8:R8"/>
    <mergeCell ref="S8:V8"/>
    <mergeCell ref="AA8:AE8"/>
    <mergeCell ref="AN7:AR7"/>
    <mergeCell ref="AS7:AV7"/>
    <mergeCell ref="BA8:BE8"/>
    <mergeCell ref="BF8:BI8"/>
    <mergeCell ref="AF8:AI8"/>
    <mergeCell ref="AN8:AR8"/>
    <mergeCell ref="AS8:AV8"/>
    <mergeCell ref="AW8:AX8"/>
    <mergeCell ref="AL8:AM8"/>
    <mergeCell ref="AY8:AZ8"/>
    <mergeCell ref="AJ7:AK7"/>
    <mergeCell ref="AJ8:AK8"/>
    <mergeCell ref="AL7:AM7"/>
    <mergeCell ref="AY7:AZ7"/>
    <mergeCell ref="AA9:AE9"/>
    <mergeCell ref="AF9:AI9"/>
    <mergeCell ref="A9:E9"/>
    <mergeCell ref="F9:I9"/>
    <mergeCell ref="J9:K9"/>
    <mergeCell ref="N9:R9"/>
    <mergeCell ref="W9:X9"/>
    <mergeCell ref="Y9:Z9"/>
    <mergeCell ref="L9:M9"/>
    <mergeCell ref="BF9:BI9"/>
    <mergeCell ref="A10:E10"/>
    <mergeCell ref="F10:I10"/>
    <mergeCell ref="J10:K10"/>
    <mergeCell ref="N10:R10"/>
    <mergeCell ref="S10:V10"/>
    <mergeCell ref="AA10:AE10"/>
    <mergeCell ref="AN9:AR9"/>
    <mergeCell ref="AS9:AV9"/>
    <mergeCell ref="AF10:AI10"/>
    <mergeCell ref="AN10:AR10"/>
    <mergeCell ref="AS10:AV10"/>
    <mergeCell ref="AW10:AX10"/>
    <mergeCell ref="AL10:AM10"/>
    <mergeCell ref="AY10:AZ10"/>
    <mergeCell ref="L10:M10"/>
    <mergeCell ref="AJ9:AK9"/>
    <mergeCell ref="AJ10:AK10"/>
    <mergeCell ref="AL9:AM9"/>
    <mergeCell ref="AY9:AZ9"/>
    <mergeCell ref="BF12:BI12"/>
    <mergeCell ref="A12:E12"/>
    <mergeCell ref="F12:I12"/>
    <mergeCell ref="J12:K12"/>
    <mergeCell ref="N12:R12"/>
    <mergeCell ref="S12:V12"/>
    <mergeCell ref="AA12:AE12"/>
    <mergeCell ref="AN11:AR11"/>
    <mergeCell ref="AS11:AV11"/>
    <mergeCell ref="BA14:BE14"/>
    <mergeCell ref="BF14:BI14"/>
    <mergeCell ref="AF12:AI12"/>
    <mergeCell ref="AN12:AR12"/>
    <mergeCell ref="AS12:AV12"/>
    <mergeCell ref="AJ12:AK12"/>
    <mergeCell ref="AL12:AM12"/>
    <mergeCell ref="AY12:AZ12"/>
    <mergeCell ref="AY11:AZ11"/>
    <mergeCell ref="L12:M12"/>
    <mergeCell ref="AL11:AM11"/>
    <mergeCell ref="BA12:BE12"/>
    <mergeCell ref="BA11:BE11"/>
    <mergeCell ref="BF11:BI11"/>
    <mergeCell ref="W14:X14"/>
    <mergeCell ref="Y13:Z13"/>
    <mergeCell ref="Y14:Z14"/>
    <mergeCell ref="AW13:AX13"/>
    <mergeCell ref="AF14:AI14"/>
    <mergeCell ref="AN14:AR14"/>
    <mergeCell ref="AS14:AV14"/>
    <mergeCell ref="AJ14:AK14"/>
    <mergeCell ref="N14:R14"/>
    <mergeCell ref="A11:E11"/>
    <mergeCell ref="F11:I11"/>
    <mergeCell ref="J11:K11"/>
    <mergeCell ref="N11:R11"/>
    <mergeCell ref="S11:V11"/>
    <mergeCell ref="AA11:AE11"/>
    <mergeCell ref="W11:X11"/>
    <mergeCell ref="L11:M11"/>
    <mergeCell ref="Y11:Z11"/>
    <mergeCell ref="AF11:AI11"/>
    <mergeCell ref="AJ11:AK11"/>
    <mergeCell ref="F17:I17"/>
    <mergeCell ref="J17:K17"/>
    <mergeCell ref="AF16:AI16"/>
    <mergeCell ref="AJ16:AK16"/>
    <mergeCell ref="S17:V17"/>
    <mergeCell ref="AF17:AI17"/>
    <mergeCell ref="AJ17:AK17"/>
    <mergeCell ref="AL17:AM17"/>
    <mergeCell ref="AY17:AZ17"/>
    <mergeCell ref="AW17:AX17"/>
    <mergeCell ref="Y16:Z16"/>
    <mergeCell ref="Y17:Z17"/>
    <mergeCell ref="AL16:AM16"/>
    <mergeCell ref="AN15:AR15"/>
    <mergeCell ref="A15:E15"/>
    <mergeCell ref="AS15:AV15"/>
    <mergeCell ref="AS13:AV13"/>
    <mergeCell ref="AJ13:AK13"/>
    <mergeCell ref="AL13:AM13"/>
    <mergeCell ref="AA13:AE13"/>
    <mergeCell ref="AF13:AI13"/>
    <mergeCell ref="A14:E14"/>
    <mergeCell ref="F14:I14"/>
    <mergeCell ref="AA14:AE14"/>
    <mergeCell ref="AN13:AR13"/>
    <mergeCell ref="W13:X13"/>
    <mergeCell ref="A13:E13"/>
    <mergeCell ref="F13:I13"/>
    <mergeCell ref="N13:R13"/>
    <mergeCell ref="S13:V13"/>
    <mergeCell ref="L13:M13"/>
    <mergeCell ref="AW14:AX14"/>
    <mergeCell ref="S14:V14"/>
    <mergeCell ref="J13:K13"/>
    <mergeCell ref="J14:K14"/>
    <mergeCell ref="L14:M14"/>
    <mergeCell ref="A18:E18"/>
    <mergeCell ref="F18:I18"/>
    <mergeCell ref="AJ18:AK18"/>
    <mergeCell ref="AL18:AM18"/>
    <mergeCell ref="N19:R19"/>
    <mergeCell ref="S19:V19"/>
    <mergeCell ref="A19:E19"/>
    <mergeCell ref="F19:I19"/>
    <mergeCell ref="AF19:AI19"/>
    <mergeCell ref="L17:M17"/>
    <mergeCell ref="AJ15:AK15"/>
    <mergeCell ref="AL15:AM15"/>
    <mergeCell ref="AA15:AE15"/>
    <mergeCell ref="AF15:AI15"/>
    <mergeCell ref="A16:E16"/>
    <mergeCell ref="F16:I16"/>
    <mergeCell ref="AA16:AE16"/>
    <mergeCell ref="F15:I15"/>
    <mergeCell ref="L15:M15"/>
    <mergeCell ref="N16:R16"/>
    <mergeCell ref="S16:V16"/>
    <mergeCell ref="N15:R15"/>
    <mergeCell ref="S15:V15"/>
    <mergeCell ref="N17:R17"/>
    <mergeCell ref="W17:X17"/>
    <mergeCell ref="L16:M16"/>
    <mergeCell ref="J16:K16"/>
    <mergeCell ref="W15:X15"/>
    <mergeCell ref="W16:X16"/>
    <mergeCell ref="J15:K15"/>
    <mergeCell ref="Y15:Z15"/>
    <mergeCell ref="A17:E17"/>
    <mergeCell ref="AW22:AX22"/>
    <mergeCell ref="AA23:AD23"/>
    <mergeCell ref="Y23:Z23"/>
    <mergeCell ref="Y20:Z20"/>
    <mergeCell ref="Y21:Z21"/>
    <mergeCell ref="Y22:Z22"/>
    <mergeCell ref="AF21:AI21"/>
    <mergeCell ref="AF20:AI20"/>
    <mergeCell ref="AN23:AR23"/>
    <mergeCell ref="AJ23:AK23"/>
    <mergeCell ref="AL23:AM23"/>
    <mergeCell ref="AF23:AI23"/>
    <mergeCell ref="AW23:AX23"/>
    <mergeCell ref="AW18:AX18"/>
    <mergeCell ref="AJ19:AK19"/>
    <mergeCell ref="AL19:AM19"/>
    <mergeCell ref="AA20:AD20"/>
    <mergeCell ref="AN20:AR20"/>
    <mergeCell ref="AS20:AV20"/>
    <mergeCell ref="AJ20:AK20"/>
    <mergeCell ref="Y19:Z19"/>
    <mergeCell ref="AS18:AV18"/>
    <mergeCell ref="AN21:AR21"/>
    <mergeCell ref="AS21:AV21"/>
    <mergeCell ref="AJ21:AK21"/>
    <mergeCell ref="AW19:AX19"/>
    <mergeCell ref="AS19:AV19"/>
    <mergeCell ref="AN18:AR18"/>
    <mergeCell ref="AF18:AI18"/>
    <mergeCell ref="Y18:Z18"/>
    <mergeCell ref="A24:E24"/>
    <mergeCell ref="F24:I24"/>
    <mergeCell ref="N24:R24"/>
    <mergeCell ref="S24:V24"/>
    <mergeCell ref="J24:K24"/>
    <mergeCell ref="AA24:AE24"/>
    <mergeCell ref="Y24:Z24"/>
    <mergeCell ref="J25:K25"/>
    <mergeCell ref="F25:I25"/>
    <mergeCell ref="N25:R25"/>
    <mergeCell ref="L25:M25"/>
    <mergeCell ref="A26:E26"/>
    <mergeCell ref="F26:I26"/>
    <mergeCell ref="A25:E25"/>
    <mergeCell ref="S25:V25"/>
    <mergeCell ref="AF25:AI25"/>
    <mergeCell ref="AF26:AI26"/>
    <mergeCell ref="W26:X26"/>
    <mergeCell ref="N26:R26"/>
    <mergeCell ref="S26:V26"/>
    <mergeCell ref="AA26:AE26"/>
    <mergeCell ref="AA25:AE25"/>
    <mergeCell ref="W25:X25"/>
    <mergeCell ref="Y25:Z25"/>
    <mergeCell ref="AF24:AI24"/>
    <mergeCell ref="F27:I27"/>
    <mergeCell ref="AJ27:AK27"/>
    <mergeCell ref="F29:I29"/>
    <mergeCell ref="N29:R29"/>
    <mergeCell ref="AA29:AE29"/>
    <mergeCell ref="L28:M28"/>
    <mergeCell ref="L29:M29"/>
    <mergeCell ref="Y28:Z28"/>
    <mergeCell ref="AJ29:AK29"/>
    <mergeCell ref="AL29:AM29"/>
    <mergeCell ref="AS28:AV28"/>
    <mergeCell ref="AJ28:AK28"/>
    <mergeCell ref="AL28:AM28"/>
    <mergeCell ref="Y27:Z27"/>
    <mergeCell ref="A30:E30"/>
    <mergeCell ref="F30:I30"/>
    <mergeCell ref="W30:X30"/>
    <mergeCell ref="J29:K29"/>
    <mergeCell ref="N30:R30"/>
    <mergeCell ref="S30:V30"/>
    <mergeCell ref="A29:E29"/>
    <mergeCell ref="Y30:Z30"/>
    <mergeCell ref="AJ30:AK30"/>
    <mergeCell ref="W27:X27"/>
    <mergeCell ref="A27:E27"/>
    <mergeCell ref="AY28:AZ28"/>
    <mergeCell ref="AA30:AE30"/>
    <mergeCell ref="AN29:AR29"/>
    <mergeCell ref="AS29:AV29"/>
    <mergeCell ref="AY29:AZ29"/>
    <mergeCell ref="Y29:Z29"/>
    <mergeCell ref="AN30:AR30"/>
    <mergeCell ref="AL30:AM30"/>
    <mergeCell ref="W28:X28"/>
    <mergeCell ref="N28:R28"/>
    <mergeCell ref="A28:E28"/>
    <mergeCell ref="F28:I28"/>
    <mergeCell ref="J28:K28"/>
    <mergeCell ref="AA31:AE31"/>
    <mergeCell ref="AF28:AI28"/>
    <mergeCell ref="AF30:AI30"/>
    <mergeCell ref="A31:E31"/>
    <mergeCell ref="F31:I31"/>
    <mergeCell ref="J31:K31"/>
    <mergeCell ref="N31:R31"/>
    <mergeCell ref="L31:M31"/>
    <mergeCell ref="S28:V28"/>
    <mergeCell ref="AF31:AI31"/>
    <mergeCell ref="Y31:Z31"/>
    <mergeCell ref="J23:K23"/>
    <mergeCell ref="J20:K20"/>
    <mergeCell ref="J21:K21"/>
    <mergeCell ref="W22:X22"/>
    <mergeCell ref="S20:V20"/>
    <mergeCell ref="S22:V22"/>
    <mergeCell ref="N23:R23"/>
    <mergeCell ref="N22:R22"/>
    <mergeCell ref="L18:M18"/>
    <mergeCell ref="N20:R20"/>
    <mergeCell ref="W23:X23"/>
    <mergeCell ref="W24:X24"/>
    <mergeCell ref="L23:M23"/>
    <mergeCell ref="L24:M24"/>
    <mergeCell ref="S21:V21"/>
    <mergeCell ref="L27:M27"/>
    <mergeCell ref="N27:R27"/>
    <mergeCell ref="S27:V27"/>
    <mergeCell ref="S23:V23"/>
    <mergeCell ref="W19:X19"/>
    <mergeCell ref="W20:X20"/>
    <mergeCell ref="L21:M21"/>
    <mergeCell ref="L20:M20"/>
    <mergeCell ref="N18:R18"/>
    <mergeCell ref="S18:V18"/>
    <mergeCell ref="J18:K18"/>
    <mergeCell ref="J19:K19"/>
    <mergeCell ref="W18:X18"/>
    <mergeCell ref="AW25:AX25"/>
    <mergeCell ref="AW20:AX20"/>
    <mergeCell ref="AW24:AX24"/>
    <mergeCell ref="AW21:AX21"/>
    <mergeCell ref="W21:X21"/>
    <mergeCell ref="L19:M19"/>
    <mergeCell ref="J30:K30"/>
    <mergeCell ref="L30:M30"/>
    <mergeCell ref="J27:K27"/>
    <mergeCell ref="J26:K26"/>
    <mergeCell ref="L26:M26"/>
    <mergeCell ref="Y26:Z26"/>
    <mergeCell ref="AS27:AV27"/>
    <mergeCell ref="J5:K5"/>
    <mergeCell ref="W4:X4"/>
    <mergeCell ref="W7:X7"/>
    <mergeCell ref="W8:X8"/>
    <mergeCell ref="S7:V7"/>
    <mergeCell ref="S5:V5"/>
    <mergeCell ref="L6:M6"/>
    <mergeCell ref="L8:M8"/>
    <mergeCell ref="L7:M7"/>
    <mergeCell ref="W10:X10"/>
    <mergeCell ref="S9:V9"/>
    <mergeCell ref="W12:X12"/>
    <mergeCell ref="Y4:Z4"/>
    <mergeCell ref="W5:X5"/>
    <mergeCell ref="W6:X6"/>
    <mergeCell ref="Y6:Z6"/>
    <mergeCell ref="Y5:Z5"/>
    <mergeCell ref="Y8:Z8"/>
    <mergeCell ref="Y10:Z10"/>
    <mergeCell ref="AY22:AZ22"/>
    <mergeCell ref="AY23:AZ23"/>
    <mergeCell ref="AY16:AZ16"/>
    <mergeCell ref="AY18:AZ18"/>
    <mergeCell ref="AY19:AZ19"/>
    <mergeCell ref="AY24:AZ24"/>
    <mergeCell ref="Y12:Z12"/>
    <mergeCell ref="N4:R4"/>
    <mergeCell ref="S4:V4"/>
    <mergeCell ref="BJ8:BK8"/>
    <mergeCell ref="BF17:BI17"/>
    <mergeCell ref="BA16:BE16"/>
    <mergeCell ref="BF16:BI16"/>
    <mergeCell ref="BA15:BE15"/>
    <mergeCell ref="BF15:BI15"/>
    <mergeCell ref="BA17:BE17"/>
    <mergeCell ref="AY13:AZ13"/>
    <mergeCell ref="AY15:AZ15"/>
    <mergeCell ref="BA23:BE23"/>
    <mergeCell ref="BF23:BI23"/>
    <mergeCell ref="BJ11:BK11"/>
    <mergeCell ref="BJ12:BK12"/>
    <mergeCell ref="BJ14:BK14"/>
    <mergeCell ref="BJ15:BK15"/>
    <mergeCell ref="BJ18:BK18"/>
    <mergeCell ref="BJ19:BK19"/>
    <mergeCell ref="BF21:BI21"/>
    <mergeCell ref="BF20:BI20"/>
    <mergeCell ref="BA18:BE18"/>
    <mergeCell ref="AY14:AZ14"/>
    <mergeCell ref="AL24:AM24"/>
    <mergeCell ref="BA22:BE22"/>
    <mergeCell ref="BH1:BI1"/>
    <mergeCell ref="BL8:BM8"/>
    <mergeCell ref="BJ28:BK28"/>
    <mergeCell ref="BJ29:BK29"/>
    <mergeCell ref="BL9:BM9"/>
    <mergeCell ref="BL11:BM11"/>
    <mergeCell ref="BL12:BM12"/>
    <mergeCell ref="BJ16:BK16"/>
    <mergeCell ref="BJ9:BK9"/>
    <mergeCell ref="BL14:BM14"/>
    <mergeCell ref="BA29:BE29"/>
    <mergeCell ref="BL26:BM26"/>
    <mergeCell ref="BL27:BM27"/>
    <mergeCell ref="BL28:BM28"/>
    <mergeCell ref="BL22:BM22"/>
    <mergeCell ref="BL23:BM23"/>
    <mergeCell ref="BL24:BM24"/>
    <mergeCell ref="BL25:BM25"/>
    <mergeCell ref="BJ27:BK27"/>
    <mergeCell ref="BA28:BE28"/>
    <mergeCell ref="BL15:BM15"/>
    <mergeCell ref="BL4:BM4"/>
    <mergeCell ref="BL5:BM5"/>
    <mergeCell ref="BJ6:BK6"/>
    <mergeCell ref="BJ7:BK7"/>
    <mergeCell ref="BJ4:BK4"/>
    <mergeCell ref="BJ5:BK5"/>
    <mergeCell ref="BL6:BM6"/>
    <mergeCell ref="BL7:BM7"/>
    <mergeCell ref="BJ21:BK21"/>
    <mergeCell ref="BJ22:BK22"/>
    <mergeCell ref="BJ23:BK23"/>
    <mergeCell ref="AN38:AQ38"/>
    <mergeCell ref="AR38:AS38"/>
    <mergeCell ref="S31:V31"/>
    <mergeCell ref="AA32:AI32"/>
    <mergeCell ref="AJ32:AM32"/>
    <mergeCell ref="AN32:AV32"/>
    <mergeCell ref="W31:X31"/>
    <mergeCell ref="AJ31:AK31"/>
    <mergeCell ref="S1:U1"/>
    <mergeCell ref="V1:AD1"/>
    <mergeCell ref="AF1:AH1"/>
    <mergeCell ref="V2:AC3"/>
    <mergeCell ref="AH3:AN3"/>
    <mergeCell ref="S2:U2"/>
    <mergeCell ref="AF2:AH2"/>
    <mergeCell ref="AJ2:AT2"/>
    <mergeCell ref="AF3:AG3"/>
    <mergeCell ref="AP3:AQ3"/>
    <mergeCell ref="AJ26:AK26"/>
    <mergeCell ref="AL26:AM26"/>
    <mergeCell ref="AJ25:AK25"/>
    <mergeCell ref="AL25:AM25"/>
    <mergeCell ref="AF22:AI22"/>
    <mergeCell ref="AN22:AR22"/>
    <mergeCell ref="AS22:AV22"/>
    <mergeCell ref="AJ22:AK22"/>
    <mergeCell ref="AL22:AM22"/>
    <mergeCell ref="AN16:AR16"/>
    <mergeCell ref="AS16:AV16"/>
    <mergeCell ref="AN17:AR17"/>
    <mergeCell ref="AS17:AV17"/>
    <mergeCell ref="AL14:AM14"/>
    <mergeCell ref="AY27:AZ27"/>
    <mergeCell ref="AL21:AM21"/>
    <mergeCell ref="AW11:AX11"/>
    <mergeCell ref="AW12:AX12"/>
    <mergeCell ref="AW7:AX7"/>
    <mergeCell ref="AW9:AX9"/>
    <mergeCell ref="AW15:AX15"/>
    <mergeCell ref="AW16:AX16"/>
    <mergeCell ref="AN19:AR19"/>
    <mergeCell ref="BF19:BI19"/>
    <mergeCell ref="BA19:BE19"/>
    <mergeCell ref="BF18:BI18"/>
    <mergeCell ref="BL17:BM17"/>
    <mergeCell ref="BL16:BM16"/>
    <mergeCell ref="BJ17:BK17"/>
    <mergeCell ref="BA13:BE13"/>
    <mergeCell ref="BF13:BI13"/>
    <mergeCell ref="BJ13:BK13"/>
    <mergeCell ref="BL13:BM13"/>
    <mergeCell ref="BA10:BE10"/>
    <mergeCell ref="BF10:BI10"/>
    <mergeCell ref="BJ10:BK10"/>
    <mergeCell ref="BL10:BM10"/>
    <mergeCell ref="BJ24:BK24"/>
    <mergeCell ref="BJ25:BK25"/>
    <mergeCell ref="BJ26:BK26"/>
    <mergeCell ref="BL20:BM20"/>
    <mergeCell ref="BL21:BM21"/>
    <mergeCell ref="BL18:BM18"/>
    <mergeCell ref="BL19:BM19"/>
    <mergeCell ref="BJ20:BK20"/>
    <mergeCell ref="AY25:AZ25"/>
  </mergeCells>
  <phoneticPr fontId="2"/>
  <pageMargins left="0.43307086614173229" right="0.23622047244094491" top="0.47244094488188981" bottom="0.19685039370078741" header="0.51181102362204722" footer="0.19685039370078741"/>
  <pageSetup paperSize="9" scale="83" orientation="landscape" blackAndWhite="1" r:id="rId1"/>
  <headerFooter alignWithMargins="0"/>
  <rowBreaks count="1" manualBreakCount="1"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0"/>
  <sheetViews>
    <sheetView zoomScale="85" zoomScaleNormal="85" workbookViewId="0">
      <pane ySplit="5" topLeftCell="A6" activePane="bottomLeft" state="frozen"/>
      <selection activeCell="P32" sqref="P32"/>
      <selection pane="bottomLeft" activeCell="F1" sqref="F1:G1"/>
    </sheetView>
  </sheetViews>
  <sheetFormatPr defaultRowHeight="13.5"/>
  <cols>
    <col min="1" max="2" width="11.625" customWidth="1"/>
    <col min="3" max="3" width="6.625" style="41" customWidth="1"/>
    <col min="4" max="4" width="4.625" style="42" customWidth="1"/>
    <col min="5" max="6" width="11.625" customWidth="1"/>
    <col min="7" max="7" width="6.625" style="42" customWidth="1"/>
    <col min="8" max="8" width="4.625" style="42" customWidth="1"/>
    <col min="9" max="10" width="11.625" customWidth="1"/>
    <col min="11" max="11" width="6.625" style="42" customWidth="1"/>
    <col min="12" max="12" width="4.625" style="42" customWidth="1"/>
    <col min="13" max="14" width="11.625" customWidth="1"/>
    <col min="15" max="15" width="6.5" style="42" customWidth="1"/>
    <col min="16" max="16" width="4.625" style="51" customWidth="1"/>
    <col min="17" max="18" width="11.625" customWidth="1"/>
    <col min="19" max="19" width="6.5" style="42" customWidth="1"/>
    <col min="20" max="20" width="4.625" style="51" customWidth="1"/>
  </cols>
  <sheetData>
    <row r="1" spans="1:20" ht="20.100000000000001" customHeight="1">
      <c r="A1" s="40" t="s">
        <v>196</v>
      </c>
      <c r="E1" s="43" t="s">
        <v>197</v>
      </c>
      <c r="F1" s="424" t="s">
        <v>283</v>
      </c>
      <c r="G1" s="425"/>
      <c r="H1" s="426" t="s">
        <v>282</v>
      </c>
      <c r="I1" s="427"/>
      <c r="J1" s="45" t="s">
        <v>198</v>
      </c>
      <c r="K1" s="46"/>
      <c r="L1" s="44" t="s">
        <v>199</v>
      </c>
      <c r="M1" s="47"/>
      <c r="N1" s="48"/>
      <c r="O1" s="49"/>
      <c r="P1" s="50"/>
      <c r="Q1" s="423" t="s">
        <v>284</v>
      </c>
      <c r="R1" s="423"/>
      <c r="S1" s="50" t="s">
        <v>200</v>
      </c>
    </row>
    <row r="2" spans="1:20" ht="20.100000000000001" customHeight="1">
      <c r="B2" t="s">
        <v>201</v>
      </c>
      <c r="E2" s="52" t="s">
        <v>202</v>
      </c>
      <c r="F2" s="428"/>
      <c r="G2" s="429"/>
      <c r="H2" s="429"/>
      <c r="I2" s="430"/>
      <c r="J2" s="52" t="s">
        <v>203</v>
      </c>
      <c r="K2" s="432"/>
      <c r="L2" s="433"/>
      <c r="M2" s="433"/>
      <c r="N2" s="434"/>
      <c r="O2" s="42" t="s">
        <v>204</v>
      </c>
      <c r="P2" s="53"/>
      <c r="Q2" s="419"/>
      <c r="R2" s="420"/>
      <c r="S2" s="54" t="s">
        <v>205</v>
      </c>
    </row>
    <row r="3" spans="1:20" ht="20.100000000000001" customHeight="1">
      <c r="A3" t="s">
        <v>206</v>
      </c>
      <c r="E3" s="55" t="s">
        <v>207</v>
      </c>
      <c r="F3" s="421"/>
      <c r="G3" s="422"/>
      <c r="H3" s="422"/>
      <c r="I3" s="431"/>
      <c r="J3" s="55" t="s">
        <v>208</v>
      </c>
      <c r="K3" s="435"/>
      <c r="L3" s="436"/>
      <c r="M3" s="436"/>
      <c r="N3" s="437"/>
      <c r="O3" s="56" t="s">
        <v>209</v>
      </c>
      <c r="P3" s="57"/>
      <c r="Q3" s="421"/>
      <c r="R3" s="422"/>
      <c r="S3" s="58"/>
    </row>
    <row r="5" spans="1:20" ht="18" customHeight="1">
      <c r="A5" s="59" t="s">
        <v>210</v>
      </c>
      <c r="B5" s="60" t="s">
        <v>211</v>
      </c>
      <c r="C5" s="61" t="s">
        <v>17</v>
      </c>
      <c r="D5" s="62" t="s">
        <v>18</v>
      </c>
      <c r="E5" s="59" t="s">
        <v>210</v>
      </c>
      <c r="F5" s="60" t="s">
        <v>211</v>
      </c>
      <c r="G5" s="63" t="s">
        <v>17</v>
      </c>
      <c r="H5" s="64" t="s">
        <v>18</v>
      </c>
      <c r="I5" s="65" t="s">
        <v>210</v>
      </c>
      <c r="J5" s="60" t="s">
        <v>211</v>
      </c>
      <c r="K5" s="63" t="s">
        <v>17</v>
      </c>
      <c r="L5" s="64" t="s">
        <v>18</v>
      </c>
      <c r="M5" s="66" t="s">
        <v>210</v>
      </c>
      <c r="N5" s="67" t="s">
        <v>211</v>
      </c>
      <c r="O5" s="62" t="s">
        <v>17</v>
      </c>
      <c r="P5" s="167" t="s">
        <v>18</v>
      </c>
      <c r="Q5" s="66" t="s">
        <v>210</v>
      </c>
      <c r="R5" s="67" t="s">
        <v>211</v>
      </c>
      <c r="S5" s="62" t="s">
        <v>17</v>
      </c>
      <c r="T5" s="68" t="s">
        <v>18</v>
      </c>
    </row>
    <row r="6" spans="1:20" ht="21.95" customHeight="1">
      <c r="A6" s="69" t="s">
        <v>212</v>
      </c>
      <c r="B6" s="70" t="s">
        <v>213</v>
      </c>
      <c r="C6" s="139"/>
      <c r="D6" s="125">
        <f>C6*12.3</f>
        <v>0</v>
      </c>
      <c r="E6" s="71" t="s">
        <v>214</v>
      </c>
      <c r="F6" s="72" t="s">
        <v>215</v>
      </c>
      <c r="G6" s="140"/>
      <c r="H6" s="126">
        <f>G6*36</f>
        <v>0</v>
      </c>
      <c r="I6" s="73" t="s">
        <v>216</v>
      </c>
      <c r="J6" s="74" t="s">
        <v>23</v>
      </c>
      <c r="K6" s="144"/>
      <c r="L6" s="130">
        <f>K6*14.9</f>
        <v>0</v>
      </c>
      <c r="M6" s="75" t="s">
        <v>24</v>
      </c>
      <c r="N6" s="74" t="s">
        <v>25</v>
      </c>
      <c r="O6" s="148"/>
      <c r="P6" s="133">
        <f>O6*15</f>
        <v>0</v>
      </c>
      <c r="Q6" s="76" t="s">
        <v>26</v>
      </c>
      <c r="R6" s="174" t="s">
        <v>395</v>
      </c>
      <c r="S6" s="150"/>
      <c r="T6" s="136">
        <f>S6*0.85</f>
        <v>0</v>
      </c>
    </row>
    <row r="7" spans="1:20" ht="21.95" customHeight="1">
      <c r="A7" s="71" t="s">
        <v>217</v>
      </c>
      <c r="B7" s="72" t="s">
        <v>218</v>
      </c>
      <c r="C7" s="140"/>
      <c r="D7" s="126">
        <f>C7*9.5</f>
        <v>0</v>
      </c>
      <c r="E7" s="71" t="s">
        <v>217</v>
      </c>
      <c r="F7" s="72" t="s">
        <v>219</v>
      </c>
      <c r="G7" s="140"/>
      <c r="H7" s="128">
        <f>G7*20</f>
        <v>0</v>
      </c>
      <c r="I7" s="77" t="s">
        <v>220</v>
      </c>
      <c r="J7" s="78" t="s">
        <v>32</v>
      </c>
      <c r="K7" s="145"/>
      <c r="L7" s="131">
        <f>K7*11.2</f>
        <v>0</v>
      </c>
      <c r="M7" s="79" t="s">
        <v>24</v>
      </c>
      <c r="N7" s="78" t="s">
        <v>33</v>
      </c>
      <c r="O7" s="149"/>
      <c r="P7" s="134">
        <f>O7*13.6</f>
        <v>0</v>
      </c>
      <c r="Q7" s="171" t="s">
        <v>26</v>
      </c>
      <c r="R7" s="172" t="s">
        <v>27</v>
      </c>
      <c r="S7" s="152"/>
      <c r="T7" s="173">
        <f>S7*1</f>
        <v>0</v>
      </c>
    </row>
    <row r="8" spans="1:20" ht="21.95" customHeight="1">
      <c r="A8" s="71" t="s">
        <v>217</v>
      </c>
      <c r="B8" s="72" t="s">
        <v>221</v>
      </c>
      <c r="C8" s="140"/>
      <c r="D8" s="126">
        <f>C8*6.4</f>
        <v>0</v>
      </c>
      <c r="E8" s="71" t="s">
        <v>217</v>
      </c>
      <c r="F8" s="72" t="s">
        <v>222</v>
      </c>
      <c r="G8" s="140"/>
      <c r="H8" s="128">
        <f>G8*15</f>
        <v>0</v>
      </c>
      <c r="I8" s="77" t="s">
        <v>223</v>
      </c>
      <c r="J8" s="78" t="s">
        <v>38</v>
      </c>
      <c r="K8" s="145"/>
      <c r="L8" s="131">
        <f>K8*7.58</f>
        <v>0</v>
      </c>
      <c r="M8" s="79" t="s">
        <v>24</v>
      </c>
      <c r="N8" s="78" t="s">
        <v>39</v>
      </c>
      <c r="O8" s="149"/>
      <c r="P8" s="134">
        <f>O8*12.3</f>
        <v>0</v>
      </c>
      <c r="Q8" s="80" t="s">
        <v>26</v>
      </c>
      <c r="R8" s="78" t="s">
        <v>34</v>
      </c>
      <c r="S8" s="151"/>
      <c r="T8" s="135">
        <f>S8*1.1</f>
        <v>0</v>
      </c>
    </row>
    <row r="9" spans="1:20" ht="21.95" customHeight="1">
      <c r="A9" s="71" t="s">
        <v>217</v>
      </c>
      <c r="B9" s="72" t="s">
        <v>224</v>
      </c>
      <c r="C9" s="140"/>
      <c r="D9" s="126">
        <f>C9*5.2</f>
        <v>0</v>
      </c>
      <c r="E9" s="81"/>
      <c r="F9" s="82"/>
      <c r="G9" s="142"/>
      <c r="H9" s="127"/>
      <c r="I9" s="83" t="s">
        <v>45</v>
      </c>
      <c r="J9" s="78" t="s">
        <v>46</v>
      </c>
      <c r="K9" s="145"/>
      <c r="L9" s="131">
        <f>K9*20</f>
        <v>0</v>
      </c>
      <c r="M9" s="79" t="s">
        <v>24</v>
      </c>
      <c r="N9" s="78" t="s">
        <v>47</v>
      </c>
      <c r="O9" s="149"/>
      <c r="P9" s="134">
        <f>O9*10.9</f>
        <v>0</v>
      </c>
      <c r="Q9" s="80" t="s">
        <v>26</v>
      </c>
      <c r="R9" s="78" t="s">
        <v>40</v>
      </c>
      <c r="S9" s="151"/>
      <c r="T9" s="135">
        <f>S9*1.7</f>
        <v>0</v>
      </c>
    </row>
    <row r="10" spans="1:20" ht="21.95" customHeight="1">
      <c r="A10" s="71" t="s">
        <v>217</v>
      </c>
      <c r="B10" s="72" t="s">
        <v>225</v>
      </c>
      <c r="C10" s="140"/>
      <c r="D10" s="126">
        <f>C10*3.5</f>
        <v>0</v>
      </c>
      <c r="E10" s="71" t="s">
        <v>226</v>
      </c>
      <c r="F10" s="72" t="s">
        <v>227</v>
      </c>
      <c r="G10" s="140"/>
      <c r="H10" s="128">
        <f>G10*17.6</f>
        <v>0</v>
      </c>
      <c r="I10" s="83" t="s">
        <v>45</v>
      </c>
      <c r="J10" s="78" t="s">
        <v>52</v>
      </c>
      <c r="K10" s="145"/>
      <c r="L10" s="131">
        <f>K10*10</f>
        <v>0</v>
      </c>
      <c r="M10" s="79" t="s">
        <v>24</v>
      </c>
      <c r="N10" s="78" t="s">
        <v>53</v>
      </c>
      <c r="O10" s="149"/>
      <c r="P10" s="134">
        <f>O10*9.56</f>
        <v>0</v>
      </c>
      <c r="Q10" s="80" t="s">
        <v>26</v>
      </c>
      <c r="R10" s="78" t="s">
        <v>48</v>
      </c>
      <c r="S10" s="151"/>
      <c r="T10" s="135">
        <f>S10*1.9</f>
        <v>0</v>
      </c>
    </row>
    <row r="11" spans="1:20" ht="21.95" customHeight="1">
      <c r="A11" s="71" t="s">
        <v>217</v>
      </c>
      <c r="B11" s="72" t="s">
        <v>228</v>
      </c>
      <c r="C11" s="140"/>
      <c r="D11" s="126">
        <f>C11*2.1</f>
        <v>0</v>
      </c>
      <c r="E11" s="71" t="s">
        <v>217</v>
      </c>
      <c r="F11" s="72" t="s">
        <v>229</v>
      </c>
      <c r="G11" s="140"/>
      <c r="H11" s="128">
        <f>G11*13.9</f>
        <v>0</v>
      </c>
      <c r="I11" s="83" t="s">
        <v>230</v>
      </c>
      <c r="J11" s="78" t="s">
        <v>46</v>
      </c>
      <c r="K11" s="145"/>
      <c r="L11" s="131">
        <f>K11*20</f>
        <v>0</v>
      </c>
      <c r="M11" s="79" t="s">
        <v>24</v>
      </c>
      <c r="N11" s="78" t="s">
        <v>58</v>
      </c>
      <c r="O11" s="149"/>
      <c r="P11" s="134">
        <f>O11*8.19</f>
        <v>0</v>
      </c>
      <c r="Q11" s="80" t="s">
        <v>26</v>
      </c>
      <c r="R11" s="78" t="s">
        <v>54</v>
      </c>
      <c r="S11" s="151"/>
      <c r="T11" s="135">
        <f>S11*2.2</f>
        <v>0</v>
      </c>
    </row>
    <row r="12" spans="1:20" ht="21.95" customHeight="1">
      <c r="A12" s="71" t="s">
        <v>217</v>
      </c>
      <c r="B12" s="72" t="s">
        <v>231</v>
      </c>
      <c r="C12" s="140"/>
      <c r="D12" s="126">
        <f>C12*1.4</f>
        <v>0</v>
      </c>
      <c r="E12" s="71" t="s">
        <v>217</v>
      </c>
      <c r="F12" s="84" t="s">
        <v>232</v>
      </c>
      <c r="G12" s="140"/>
      <c r="H12" s="126">
        <f>G12*11.6</f>
        <v>0</v>
      </c>
      <c r="I12" s="83" t="s">
        <v>230</v>
      </c>
      <c r="J12" s="78" t="s">
        <v>52</v>
      </c>
      <c r="K12" s="145"/>
      <c r="L12" s="131">
        <f>K12*10</f>
        <v>0</v>
      </c>
      <c r="M12" s="79" t="s">
        <v>24</v>
      </c>
      <c r="N12" s="78" t="s">
        <v>60</v>
      </c>
      <c r="O12" s="149"/>
      <c r="P12" s="134">
        <f>O12*6.82</f>
        <v>0</v>
      </c>
      <c r="Q12" s="80" t="s">
        <v>26</v>
      </c>
      <c r="R12" s="78" t="s">
        <v>59</v>
      </c>
      <c r="S12" s="151"/>
      <c r="T12" s="135">
        <f>S12*2.7</f>
        <v>0</v>
      </c>
    </row>
    <row r="13" spans="1:20" ht="21.95" customHeight="1">
      <c r="A13" s="81"/>
      <c r="B13" s="99"/>
      <c r="C13" s="140"/>
      <c r="D13" s="127"/>
      <c r="E13" s="71" t="s">
        <v>217</v>
      </c>
      <c r="F13" s="84" t="s">
        <v>233</v>
      </c>
      <c r="G13" s="140"/>
      <c r="H13" s="126">
        <f>G13*9.26</f>
        <v>0</v>
      </c>
      <c r="I13" s="83" t="s">
        <v>61</v>
      </c>
      <c r="J13" s="78"/>
      <c r="K13" s="145"/>
      <c r="L13" s="131">
        <f>K13*1.25</f>
        <v>0</v>
      </c>
      <c r="M13" s="79" t="s">
        <v>62</v>
      </c>
      <c r="N13" s="78" t="s">
        <v>63</v>
      </c>
      <c r="O13" s="149"/>
      <c r="P13" s="134">
        <f>O13*5.46</f>
        <v>0</v>
      </c>
      <c r="Q13" s="85"/>
      <c r="R13" s="86"/>
      <c r="S13" s="151"/>
      <c r="T13" s="137"/>
    </row>
    <row r="14" spans="1:20" ht="21.95" customHeight="1">
      <c r="A14" s="71" t="s">
        <v>234</v>
      </c>
      <c r="B14" s="72" t="s">
        <v>235</v>
      </c>
      <c r="C14" s="140"/>
      <c r="D14" s="126">
        <f>C14*4.6</f>
        <v>0</v>
      </c>
      <c r="E14" s="71" t="s">
        <v>217</v>
      </c>
      <c r="F14" s="84" t="s">
        <v>236</v>
      </c>
      <c r="G14" s="140"/>
      <c r="H14" s="126">
        <f>G14*6.94</f>
        <v>0</v>
      </c>
      <c r="I14" s="88"/>
      <c r="J14" s="89"/>
      <c r="K14" s="145"/>
      <c r="L14" s="132"/>
      <c r="M14" s="79" t="s">
        <v>62</v>
      </c>
      <c r="N14" s="78" t="s">
        <v>70</v>
      </c>
      <c r="O14" s="149"/>
      <c r="P14" s="134">
        <f>O14*4.91</f>
        <v>0</v>
      </c>
      <c r="Q14" s="83" t="s">
        <v>123</v>
      </c>
      <c r="R14" s="78" t="s">
        <v>124</v>
      </c>
      <c r="S14" s="140"/>
      <c r="T14" s="131">
        <f>S14*0.75</f>
        <v>0</v>
      </c>
    </row>
    <row r="15" spans="1:20" ht="21.95" customHeight="1">
      <c r="A15" s="71" t="s">
        <v>217</v>
      </c>
      <c r="B15" s="72" t="s">
        <v>237</v>
      </c>
      <c r="C15" s="140"/>
      <c r="D15" s="126">
        <f>C15*3.8</f>
        <v>0</v>
      </c>
      <c r="E15" s="71" t="s">
        <v>217</v>
      </c>
      <c r="F15" s="84" t="s">
        <v>238</v>
      </c>
      <c r="G15" s="140"/>
      <c r="H15" s="126">
        <f>G15*8.88</f>
        <v>0</v>
      </c>
      <c r="I15" s="90" t="s">
        <v>239</v>
      </c>
      <c r="J15" s="91" t="s">
        <v>69</v>
      </c>
      <c r="K15" s="145"/>
      <c r="L15" s="131">
        <f>K15*14.3</f>
        <v>0</v>
      </c>
      <c r="M15" s="79" t="s">
        <v>62</v>
      </c>
      <c r="N15" s="78" t="s">
        <v>76</v>
      </c>
      <c r="O15" s="149"/>
      <c r="P15" s="134">
        <f>O15*4.1</f>
        <v>0</v>
      </c>
      <c r="Q15" s="83" t="s">
        <v>123</v>
      </c>
      <c r="R15" s="78" t="s">
        <v>128</v>
      </c>
      <c r="S15" s="140"/>
      <c r="T15" s="131">
        <f>S15*0.75</f>
        <v>0</v>
      </c>
    </row>
    <row r="16" spans="1:20" ht="21.95" customHeight="1">
      <c r="A16" s="71" t="s">
        <v>217</v>
      </c>
      <c r="B16" s="72" t="s">
        <v>240</v>
      </c>
      <c r="C16" s="140"/>
      <c r="D16" s="126">
        <f>C16*3.1</f>
        <v>0</v>
      </c>
      <c r="E16" s="71" t="s">
        <v>217</v>
      </c>
      <c r="F16" s="84" t="s">
        <v>241</v>
      </c>
      <c r="G16" s="140"/>
      <c r="H16" s="126">
        <f>G16*7.82</f>
        <v>0</v>
      </c>
      <c r="I16" s="90" t="s">
        <v>239</v>
      </c>
      <c r="J16" s="91" t="s">
        <v>75</v>
      </c>
      <c r="K16" s="145"/>
      <c r="L16" s="131">
        <f>K16*10.4</f>
        <v>0</v>
      </c>
      <c r="M16" s="79" t="s">
        <v>62</v>
      </c>
      <c r="N16" s="78" t="s">
        <v>82</v>
      </c>
      <c r="O16" s="149"/>
      <c r="P16" s="134">
        <f>O16*3.28</f>
        <v>0</v>
      </c>
      <c r="Q16" s="100" t="s">
        <v>329</v>
      </c>
      <c r="R16" s="78"/>
      <c r="S16" s="140"/>
      <c r="T16" s="131">
        <f>S16*0.68</f>
        <v>0</v>
      </c>
    </row>
    <row r="17" spans="1:20" ht="21.95" customHeight="1">
      <c r="A17" s="71" t="s">
        <v>217</v>
      </c>
      <c r="B17" s="72" t="s">
        <v>242</v>
      </c>
      <c r="C17" s="140"/>
      <c r="D17" s="126">
        <f>C17*2.4</f>
        <v>0</v>
      </c>
      <c r="E17" s="71" t="s">
        <v>217</v>
      </c>
      <c r="F17" s="84" t="s">
        <v>243</v>
      </c>
      <c r="G17" s="140"/>
      <c r="H17" s="126">
        <f>G17*6.66</f>
        <v>0</v>
      </c>
      <c r="I17" s="90" t="s">
        <v>239</v>
      </c>
      <c r="J17" s="91" t="s">
        <v>81</v>
      </c>
      <c r="K17" s="145"/>
      <c r="L17" s="131">
        <f>K17*6.9</f>
        <v>0</v>
      </c>
      <c r="M17" s="79" t="s">
        <v>62</v>
      </c>
      <c r="N17" s="78" t="s">
        <v>88</v>
      </c>
      <c r="O17" s="149"/>
      <c r="P17" s="134">
        <f>O17*2.73</f>
        <v>0</v>
      </c>
      <c r="Q17" s="83" t="s">
        <v>135</v>
      </c>
      <c r="R17" s="78"/>
      <c r="S17" s="140"/>
      <c r="T17" s="131">
        <f>S17*0.8</f>
        <v>0</v>
      </c>
    </row>
    <row r="18" spans="1:20" ht="21.95" customHeight="1">
      <c r="A18" s="71" t="s">
        <v>217</v>
      </c>
      <c r="B18" s="72" t="s">
        <v>244</v>
      </c>
      <c r="C18" s="140"/>
      <c r="D18" s="126">
        <f>C18*1.7</f>
        <v>0</v>
      </c>
      <c r="E18" s="71" t="s">
        <v>217</v>
      </c>
      <c r="F18" s="84" t="s">
        <v>245</v>
      </c>
      <c r="G18" s="140"/>
      <c r="H18" s="126">
        <f>G18*5.5</f>
        <v>0</v>
      </c>
      <c r="I18" s="88"/>
      <c r="J18" s="89"/>
      <c r="K18" s="145"/>
      <c r="L18" s="132"/>
      <c r="M18" s="79" t="s">
        <v>62</v>
      </c>
      <c r="N18" s="78" t="s">
        <v>92</v>
      </c>
      <c r="O18" s="149"/>
      <c r="P18" s="134">
        <f>O18*2.46</f>
        <v>0</v>
      </c>
      <c r="Q18" s="100" t="s">
        <v>274</v>
      </c>
      <c r="R18" s="78"/>
      <c r="S18" s="140"/>
      <c r="T18" s="131">
        <f>S18*1.08</f>
        <v>0</v>
      </c>
    </row>
    <row r="19" spans="1:20" ht="21.95" customHeight="1">
      <c r="A19" s="71" t="s">
        <v>217</v>
      </c>
      <c r="B19" s="72" t="s">
        <v>246</v>
      </c>
      <c r="C19" s="140"/>
      <c r="D19" s="126">
        <f>C19*1</f>
        <v>0</v>
      </c>
      <c r="E19" s="71" t="s">
        <v>217</v>
      </c>
      <c r="F19" s="84" t="s">
        <v>247</v>
      </c>
      <c r="G19" s="140"/>
      <c r="H19" s="126">
        <f>G19*4.34</f>
        <v>0</v>
      </c>
      <c r="I19" s="88"/>
      <c r="J19" s="89"/>
      <c r="K19" s="145"/>
      <c r="L19" s="132"/>
      <c r="M19" s="79" t="s">
        <v>62</v>
      </c>
      <c r="N19" s="78" t="s">
        <v>95</v>
      </c>
      <c r="O19" s="149"/>
      <c r="P19" s="134">
        <f>O19*2.18</f>
        <v>0</v>
      </c>
      <c r="Q19" s="159" t="s">
        <v>257</v>
      </c>
      <c r="R19" s="96" t="s">
        <v>258</v>
      </c>
      <c r="S19" s="160"/>
      <c r="T19" s="161">
        <f>S19*3.3</f>
        <v>0</v>
      </c>
    </row>
    <row r="20" spans="1:20" ht="21.95" customHeight="1">
      <c r="A20" s="71" t="s">
        <v>217</v>
      </c>
      <c r="B20" s="72" t="s">
        <v>314</v>
      </c>
      <c r="C20" s="140"/>
      <c r="D20" s="126">
        <f>C20*0.7</f>
        <v>0</v>
      </c>
      <c r="E20" s="81"/>
      <c r="F20" s="94"/>
      <c r="G20" s="140"/>
      <c r="H20" s="127"/>
      <c r="I20" s="88"/>
      <c r="J20" s="89"/>
      <c r="K20" s="145"/>
      <c r="L20" s="132"/>
      <c r="M20" s="79" t="s">
        <v>62</v>
      </c>
      <c r="N20" s="78" t="s">
        <v>99</v>
      </c>
      <c r="O20" s="149"/>
      <c r="P20" s="134">
        <f>O20*1.91</f>
        <v>0</v>
      </c>
      <c r="Q20" s="92"/>
      <c r="R20" s="93"/>
      <c r="S20" s="152"/>
      <c r="T20" s="138"/>
    </row>
    <row r="21" spans="1:20" ht="21.95" customHeight="1">
      <c r="A21" s="71" t="s">
        <v>248</v>
      </c>
      <c r="B21" s="169" t="s">
        <v>249</v>
      </c>
      <c r="C21" s="140"/>
      <c r="D21" s="126">
        <f>C21*6.4</f>
        <v>0</v>
      </c>
      <c r="E21" s="71" t="s">
        <v>250</v>
      </c>
      <c r="F21" s="95" t="s">
        <v>251</v>
      </c>
      <c r="G21" s="140"/>
      <c r="H21" s="126">
        <f>G21*5</f>
        <v>0</v>
      </c>
      <c r="I21" s="88"/>
      <c r="J21" s="89"/>
      <c r="K21" s="145"/>
      <c r="L21" s="132"/>
      <c r="M21" s="79" t="s">
        <v>62</v>
      </c>
      <c r="N21" s="78" t="s">
        <v>103</v>
      </c>
      <c r="O21" s="149"/>
      <c r="P21" s="134">
        <f>O21*1.64</f>
        <v>0</v>
      </c>
      <c r="Q21" s="92"/>
      <c r="R21" s="93"/>
      <c r="S21" s="152"/>
      <c r="T21" s="138"/>
    </row>
    <row r="22" spans="1:20" ht="21.95" customHeight="1">
      <c r="A22" s="71" t="s">
        <v>217</v>
      </c>
      <c r="B22" s="169" t="s">
        <v>252</v>
      </c>
      <c r="C22" s="140"/>
      <c r="D22" s="126">
        <f>C22*5.6</f>
        <v>0</v>
      </c>
      <c r="E22" s="71" t="s">
        <v>217</v>
      </c>
      <c r="F22" s="95" t="s">
        <v>253</v>
      </c>
      <c r="G22" s="140"/>
      <c r="H22" s="126">
        <f>G22*4.3</f>
        <v>0</v>
      </c>
      <c r="I22" s="88"/>
      <c r="J22" s="89"/>
      <c r="K22" s="145"/>
      <c r="L22" s="132"/>
      <c r="M22" s="79" t="s">
        <v>62</v>
      </c>
      <c r="N22" s="78" t="s">
        <v>107</v>
      </c>
      <c r="O22" s="149"/>
      <c r="P22" s="134">
        <f>O22*1.36</f>
        <v>0</v>
      </c>
      <c r="Q22" s="71" t="s">
        <v>273</v>
      </c>
      <c r="R22" s="102"/>
      <c r="S22" s="140"/>
      <c r="T22" s="131">
        <f>S22*5.7</f>
        <v>0</v>
      </c>
    </row>
    <row r="23" spans="1:20" ht="21.95" customHeight="1">
      <c r="A23" s="71" t="s">
        <v>286</v>
      </c>
      <c r="B23" s="169" t="s">
        <v>254</v>
      </c>
      <c r="C23" s="140"/>
      <c r="D23" s="126">
        <f>C23*4.8</f>
        <v>0</v>
      </c>
      <c r="E23" s="71" t="s">
        <v>217</v>
      </c>
      <c r="F23" s="95" t="s">
        <v>255</v>
      </c>
      <c r="G23" s="140"/>
      <c r="H23" s="126">
        <f>G23*3</f>
        <v>0</v>
      </c>
      <c r="I23" s="88"/>
      <c r="J23" s="89"/>
      <c r="K23" s="145"/>
      <c r="L23" s="132"/>
      <c r="M23" s="79" t="s">
        <v>62</v>
      </c>
      <c r="N23" s="78" t="s">
        <v>112</v>
      </c>
      <c r="O23" s="149"/>
      <c r="P23" s="134">
        <f>O23*1.09</f>
        <v>0</v>
      </c>
      <c r="Q23" s="71" t="s">
        <v>273</v>
      </c>
      <c r="R23" s="102" t="s">
        <v>330</v>
      </c>
      <c r="S23" s="140"/>
      <c r="T23" s="131">
        <f>S23*4.1</f>
        <v>0</v>
      </c>
    </row>
    <row r="24" spans="1:20" ht="21.95" customHeight="1">
      <c r="A24" s="71" t="s">
        <v>217</v>
      </c>
      <c r="B24" s="169" t="s">
        <v>256</v>
      </c>
      <c r="C24" s="140"/>
      <c r="D24" s="126">
        <f>C24*4</f>
        <v>0</v>
      </c>
      <c r="E24" s="97"/>
      <c r="F24" s="94"/>
      <c r="G24" s="140"/>
      <c r="H24" s="127"/>
      <c r="I24" s="153" t="s">
        <v>285</v>
      </c>
      <c r="J24" s="91" t="s">
        <v>288</v>
      </c>
      <c r="K24" s="149"/>
      <c r="L24" s="131">
        <f>K24*6</f>
        <v>0</v>
      </c>
      <c r="M24" s="79" t="s">
        <v>62</v>
      </c>
      <c r="N24" s="78" t="s">
        <v>259</v>
      </c>
      <c r="O24" s="149"/>
      <c r="P24" s="134">
        <f>O24*0.82</f>
        <v>0</v>
      </c>
      <c r="Q24" s="153"/>
      <c r="R24" s="91"/>
      <c r="S24" s="149"/>
      <c r="T24" s="135"/>
    </row>
    <row r="25" spans="1:20" ht="21.95" customHeight="1">
      <c r="A25" s="71" t="s">
        <v>217</v>
      </c>
      <c r="B25" s="169" t="s">
        <v>260</v>
      </c>
      <c r="C25" s="140"/>
      <c r="D25" s="126">
        <f>C25*3.3</f>
        <v>0</v>
      </c>
      <c r="E25" s="100" t="s">
        <v>261</v>
      </c>
      <c r="F25" s="78" t="s">
        <v>262</v>
      </c>
      <c r="G25" s="143"/>
      <c r="H25" s="126">
        <f>G25*3.1</f>
        <v>0</v>
      </c>
      <c r="I25" s="71" t="s">
        <v>286</v>
      </c>
      <c r="J25" s="72" t="s">
        <v>289</v>
      </c>
      <c r="K25" s="140"/>
      <c r="L25" s="131">
        <f>K25*5.2</f>
        <v>0</v>
      </c>
      <c r="M25" s="98"/>
      <c r="N25" s="87"/>
      <c r="O25" s="140"/>
      <c r="P25" s="127"/>
      <c r="Q25" s="71"/>
      <c r="R25" s="72"/>
      <c r="S25" s="140"/>
      <c r="T25" s="131"/>
    </row>
    <row r="26" spans="1:20" ht="21.95" customHeight="1">
      <c r="A26" s="81"/>
      <c r="B26" s="170"/>
      <c r="C26" s="140"/>
      <c r="D26" s="127"/>
      <c r="E26" s="71" t="s">
        <v>217</v>
      </c>
      <c r="F26" s="78" t="s">
        <v>266</v>
      </c>
      <c r="G26" s="143"/>
      <c r="H26" s="126">
        <f>G26*2.4</f>
        <v>0</v>
      </c>
      <c r="I26" s="71" t="s">
        <v>286</v>
      </c>
      <c r="J26" s="72" t="s">
        <v>290</v>
      </c>
      <c r="K26" s="140"/>
      <c r="L26" s="131">
        <f>K26*4.4</f>
        <v>0</v>
      </c>
      <c r="M26" s="100" t="s">
        <v>120</v>
      </c>
      <c r="N26" s="78" t="s">
        <v>263</v>
      </c>
      <c r="O26" s="146"/>
      <c r="P26" s="126">
        <f>O26*3.8</f>
        <v>0</v>
      </c>
      <c r="Q26" s="71"/>
      <c r="R26" s="72"/>
      <c r="S26" s="140"/>
      <c r="T26" s="131"/>
    </row>
    <row r="27" spans="1:20" ht="21.95" customHeight="1">
      <c r="A27" s="71" t="s">
        <v>264</v>
      </c>
      <c r="B27" s="169" t="s">
        <v>265</v>
      </c>
      <c r="C27" s="140"/>
      <c r="D27" s="126">
        <f>C27*13</f>
        <v>0</v>
      </c>
      <c r="E27" s="100" t="s">
        <v>280</v>
      </c>
      <c r="F27" s="78" t="s">
        <v>278</v>
      </c>
      <c r="G27" s="143"/>
      <c r="H27" s="126">
        <f>G27*3</f>
        <v>0</v>
      </c>
      <c r="I27" s="71" t="s">
        <v>286</v>
      </c>
      <c r="J27" s="72" t="s">
        <v>291</v>
      </c>
      <c r="K27" s="140"/>
      <c r="L27" s="131">
        <f>K27*3.6</f>
        <v>0</v>
      </c>
      <c r="M27" s="100" t="s">
        <v>120</v>
      </c>
      <c r="N27" s="78" t="s">
        <v>267</v>
      </c>
      <c r="O27" s="146"/>
      <c r="P27" s="126">
        <f>O27*5.1</f>
        <v>0</v>
      </c>
      <c r="Q27" s="71"/>
      <c r="R27" s="72"/>
      <c r="S27" s="140"/>
      <c r="T27" s="131"/>
    </row>
    <row r="28" spans="1:20" ht="21.95" customHeight="1">
      <c r="A28" s="101" t="s">
        <v>268</v>
      </c>
      <c r="B28" s="72" t="s">
        <v>269</v>
      </c>
      <c r="C28" s="140"/>
      <c r="D28" s="126">
        <f>C28*3.2</f>
        <v>0</v>
      </c>
      <c r="E28" s="100" t="s">
        <v>281</v>
      </c>
      <c r="F28" s="78" t="s">
        <v>279</v>
      </c>
      <c r="G28" s="143"/>
      <c r="H28" s="126">
        <f>G28*1.8</f>
        <v>0</v>
      </c>
      <c r="I28" s="71" t="s">
        <v>286</v>
      </c>
      <c r="J28" s="72" t="s">
        <v>292</v>
      </c>
      <c r="K28" s="140"/>
      <c r="L28" s="131">
        <f>K28*2.8</f>
        <v>0</v>
      </c>
      <c r="M28" s="100" t="s">
        <v>120</v>
      </c>
      <c r="N28" s="78" t="s">
        <v>127</v>
      </c>
      <c r="O28" s="146"/>
      <c r="P28" s="126">
        <f>O28*6.7</f>
        <v>0</v>
      </c>
      <c r="Q28" s="71"/>
      <c r="R28" s="72"/>
      <c r="S28" s="140"/>
      <c r="T28" s="131"/>
    </row>
    <row r="29" spans="1:20" ht="21.95" customHeight="1">
      <c r="A29" s="71" t="s">
        <v>270</v>
      </c>
      <c r="B29" s="102"/>
      <c r="C29" s="140"/>
      <c r="D29" s="126">
        <f>C29*12.5</f>
        <v>0</v>
      </c>
      <c r="E29" s="97"/>
      <c r="F29" s="94"/>
      <c r="G29" s="140"/>
      <c r="H29" s="127"/>
      <c r="I29" s="71" t="s">
        <v>287</v>
      </c>
      <c r="J29" s="72" t="s">
        <v>293</v>
      </c>
      <c r="K29" s="140"/>
      <c r="L29" s="131">
        <f>K29*4</f>
        <v>0</v>
      </c>
      <c r="M29" s="83" t="s">
        <v>131</v>
      </c>
      <c r="N29" s="103" t="s">
        <v>271</v>
      </c>
      <c r="O29" s="146"/>
      <c r="P29" s="126">
        <f>O29*0.42</f>
        <v>0</v>
      </c>
      <c r="Q29" s="71"/>
      <c r="R29" s="72"/>
      <c r="S29" s="140"/>
      <c r="T29" s="131"/>
    </row>
    <row r="30" spans="1:20" ht="21.95" customHeight="1" thickBot="1">
      <c r="A30" s="71" t="s">
        <v>331</v>
      </c>
      <c r="B30" s="102" t="s">
        <v>332</v>
      </c>
      <c r="C30" s="140"/>
      <c r="D30" s="126">
        <f>C30*2.51</f>
        <v>0</v>
      </c>
      <c r="E30" s="71" t="s">
        <v>312</v>
      </c>
      <c r="F30" s="72" t="s">
        <v>313</v>
      </c>
      <c r="G30" s="140"/>
      <c r="H30" s="126">
        <f>G30*2</f>
        <v>0</v>
      </c>
      <c r="I30" s="71" t="s">
        <v>217</v>
      </c>
      <c r="J30" s="72" t="s">
        <v>295</v>
      </c>
      <c r="K30" s="140"/>
      <c r="L30" s="131">
        <f>K30*3.5</f>
        <v>0</v>
      </c>
      <c r="M30" s="90"/>
      <c r="N30" s="104" t="s">
        <v>272</v>
      </c>
      <c r="O30" s="146"/>
      <c r="P30" s="126"/>
      <c r="Q30" s="71"/>
      <c r="R30" s="72"/>
      <c r="S30" s="140"/>
      <c r="T30" s="131"/>
    </row>
    <row r="31" spans="1:20" ht="21.95" customHeight="1" thickBot="1">
      <c r="A31" s="107"/>
      <c r="B31" s="108"/>
      <c r="C31" s="163"/>
      <c r="D31" s="164"/>
      <c r="E31" s="105"/>
      <c r="F31" s="106"/>
      <c r="G31" s="141"/>
      <c r="H31" s="129"/>
      <c r="I31" s="71" t="s">
        <v>217</v>
      </c>
      <c r="J31" s="154" t="s">
        <v>294</v>
      </c>
      <c r="K31" s="141"/>
      <c r="L31" s="155">
        <f>K31*3</f>
        <v>0</v>
      </c>
      <c r="M31" s="107"/>
      <c r="N31" s="108"/>
      <c r="O31" s="147"/>
      <c r="P31" s="168"/>
      <c r="Q31" s="71"/>
      <c r="R31" s="154"/>
      <c r="S31" s="141"/>
      <c r="T31" s="155"/>
    </row>
    <row r="32" spans="1:20" ht="20.100000000000001" customHeight="1" thickBot="1">
      <c r="A32" s="113" t="s">
        <v>275</v>
      </c>
      <c r="B32" s="162"/>
      <c r="C32" s="415">
        <f>SUM(D6:D31)</f>
        <v>0</v>
      </c>
      <c r="D32" s="416"/>
      <c r="E32" s="109"/>
      <c r="F32" s="109"/>
      <c r="G32" s="417">
        <f>SUM(H6:H31)</f>
        <v>0</v>
      </c>
      <c r="H32" s="418"/>
      <c r="I32" s="109"/>
      <c r="J32" s="109"/>
      <c r="K32" s="417">
        <f>SUM(L6:L31)</f>
        <v>0</v>
      </c>
      <c r="L32" s="418"/>
      <c r="M32" s="109"/>
      <c r="N32" s="109"/>
      <c r="O32" s="417">
        <f>SUM(P6:P31)</f>
        <v>0</v>
      </c>
      <c r="P32" s="418"/>
      <c r="Q32" s="109"/>
      <c r="R32" s="109"/>
      <c r="S32" s="417">
        <f>SUM(T13:T31)</f>
        <v>0</v>
      </c>
      <c r="T32" s="418"/>
    </row>
    <row r="33" spans="1:25" ht="20.100000000000001" customHeight="1">
      <c r="A33" s="110" t="s">
        <v>276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111"/>
      <c r="T33" s="111"/>
    </row>
    <row r="34" spans="1:25" ht="20.100000000000001" customHeight="1" thickBot="1">
      <c r="A34" s="112"/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111"/>
      <c r="T34" s="111"/>
    </row>
    <row r="35" spans="1:25" ht="20.100000000000001" customHeight="1" thickTop="1" thickBot="1">
      <c r="A35" s="113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50"/>
      <c r="Q35" s="114" t="s">
        <v>275</v>
      </c>
      <c r="R35" s="412">
        <f>SUM(C32:T32)</f>
        <v>0</v>
      </c>
      <c r="S35" s="412"/>
      <c r="T35" s="115" t="s">
        <v>277</v>
      </c>
    </row>
    <row r="36" spans="1:25" ht="0.95" customHeight="1" thickTop="1">
      <c r="R36" s="116"/>
      <c r="S36" s="117"/>
    </row>
    <row r="37" spans="1:25" ht="20.100000000000001" customHeight="1">
      <c r="R37" s="41"/>
    </row>
    <row r="38" spans="1:25" ht="20.100000000000001" customHeight="1">
      <c r="K38" s="118"/>
      <c r="L38" s="118"/>
      <c r="M38" s="22"/>
      <c r="O38" s="119"/>
      <c r="P38" s="120"/>
      <c r="Q38" s="3"/>
    </row>
    <row r="39" spans="1:25" ht="20.100000000000001" customHeight="1">
      <c r="G39" s="119"/>
      <c r="H39" s="119"/>
      <c r="I39" s="3"/>
      <c r="K39" s="119"/>
      <c r="L39" s="119"/>
      <c r="M39" s="3"/>
      <c r="N39" s="2"/>
      <c r="O39" s="121"/>
      <c r="P39" s="120"/>
      <c r="Q39" s="3"/>
      <c r="S39" s="121"/>
      <c r="T39" s="120"/>
      <c r="U39" s="2"/>
      <c r="W39" s="3"/>
      <c r="X39" s="3"/>
      <c r="Y39" s="3"/>
    </row>
    <row r="40" spans="1:25" ht="20.100000000000001" customHeight="1">
      <c r="K40" s="119"/>
      <c r="L40" s="119"/>
      <c r="M40" s="3"/>
      <c r="O40" s="119"/>
      <c r="P40" s="120"/>
      <c r="Q40" s="3"/>
      <c r="S40" s="121"/>
      <c r="T40" s="120"/>
      <c r="U40" s="2"/>
      <c r="W40" s="3"/>
      <c r="X40" s="3"/>
      <c r="Y40" s="3"/>
    </row>
    <row r="41" spans="1:25" ht="15" customHeight="1">
      <c r="K41" s="119"/>
      <c r="L41" s="119"/>
      <c r="M41" s="3"/>
      <c r="O41" s="119"/>
      <c r="P41" s="120"/>
      <c r="Q41" s="3"/>
      <c r="S41" s="121"/>
      <c r="T41" s="120"/>
      <c r="U41" s="2"/>
      <c r="W41" s="3"/>
      <c r="X41" s="3"/>
      <c r="Y41" s="3"/>
    </row>
    <row r="42" spans="1:25">
      <c r="I42" s="3"/>
      <c r="S42" s="121"/>
      <c r="T42" s="120"/>
      <c r="U42" s="2"/>
      <c r="W42" s="3"/>
      <c r="X42" s="3"/>
      <c r="Y42" s="3"/>
    </row>
    <row r="43" spans="1:25">
      <c r="S43" s="121"/>
      <c r="T43" s="120"/>
      <c r="U43" s="2"/>
      <c r="W43" s="3"/>
      <c r="X43" s="3"/>
      <c r="Y43" s="3"/>
    </row>
    <row r="44" spans="1:25">
      <c r="S44" s="121"/>
      <c r="T44" s="120"/>
      <c r="U44" s="2"/>
      <c r="W44" s="3"/>
      <c r="X44" s="3"/>
      <c r="Y44" s="3"/>
    </row>
    <row r="45" spans="1:25">
      <c r="S45" s="121"/>
      <c r="T45" s="120"/>
      <c r="U45" s="2"/>
      <c r="W45" s="3"/>
      <c r="X45" s="3"/>
      <c r="Y45" s="3"/>
    </row>
    <row r="46" spans="1:25">
      <c r="S46" s="121"/>
      <c r="T46" s="120"/>
      <c r="U46" s="2"/>
      <c r="W46" s="3"/>
      <c r="X46" s="3"/>
      <c r="Y46" s="3"/>
    </row>
    <row r="47" spans="1:25">
      <c r="S47" s="121"/>
      <c r="T47" s="120"/>
      <c r="U47" s="2"/>
      <c r="V47" s="3"/>
      <c r="W47" s="3"/>
      <c r="X47" s="3"/>
      <c r="Y47" s="3"/>
    </row>
    <row r="49" spans="19:25">
      <c r="S49" s="121"/>
      <c r="T49" s="120"/>
      <c r="U49" s="2"/>
      <c r="V49" s="3"/>
      <c r="W49" s="3"/>
      <c r="X49" s="3"/>
      <c r="Y49" s="3"/>
    </row>
    <row r="50" spans="19:25">
      <c r="S50" s="122"/>
      <c r="T50" s="123"/>
      <c r="U50" s="124"/>
      <c r="V50" s="3"/>
      <c r="W50" s="3"/>
      <c r="X50" s="3"/>
      <c r="Y50" s="3"/>
    </row>
  </sheetData>
  <sheetProtection algorithmName="SHA-512" hashValue="43/RwihHtvkkykELSdBPbeH1JoX0zk2bPyo58SyLvCFJMJ6SxV3zYvTklQCrA9xGstGma+8WdLsV+JguKVvlrw==" saltValue="PwNvC7ryru7QjCdVpZiolw==" spinCount="100000" sheet="1" insertColumns="0" insertRows="0" deleteColumns="0" deleteRows="0"/>
  <mergeCells count="18">
    <mergeCell ref="Q2:R2"/>
    <mergeCell ref="Q3:R3"/>
    <mergeCell ref="Q1:R1"/>
    <mergeCell ref="F1:G1"/>
    <mergeCell ref="H1:I1"/>
    <mergeCell ref="F2:I2"/>
    <mergeCell ref="F3:I3"/>
    <mergeCell ref="K2:N2"/>
    <mergeCell ref="K3:N3"/>
    <mergeCell ref="R35:S35"/>
    <mergeCell ref="B33:O33"/>
    <mergeCell ref="B34:O34"/>
    <mergeCell ref="B35:O35"/>
    <mergeCell ref="C32:D32"/>
    <mergeCell ref="G32:H32"/>
    <mergeCell ref="K32:L32"/>
    <mergeCell ref="O32:P32"/>
    <mergeCell ref="S32:T32"/>
  </mergeCells>
  <phoneticPr fontId="4"/>
  <pageMargins left="0.66" right="0.39370078740157483" top="0.39370078740157483" bottom="0.19685039370078741" header="0.19685039370078741" footer="0.19685039370078741"/>
  <pageSetup paperSize="9" scale="7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注文方法</vt:lpstr>
      <vt:lpstr>注文書（計算式入り）</vt:lpstr>
      <vt:lpstr>ミレﾆｭ-ﾑ注文書 </vt:lpstr>
      <vt:lpstr>注文方法!Print_Area</vt:lpstr>
      <vt:lpstr>'注文書（計算式入り）'!Print_Titles</vt:lpstr>
    </vt:vector>
  </TitlesOfParts>
  <Company>ナカジマトーケン株式会社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典子 千葉</cp:lastModifiedBy>
  <cp:lastPrinted>2024-11-18T02:17:40Z</cp:lastPrinted>
  <dcterms:created xsi:type="dcterms:W3CDTF">2008-03-14T07:59:40Z</dcterms:created>
  <dcterms:modified xsi:type="dcterms:W3CDTF">2026-01-15T08:06:58Z</dcterms:modified>
</cp:coreProperties>
</file>